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Instructions" sheetId="1" r:id="rId1"/>
    <sheet name="Cylinderical Shells" sheetId="2" r:id="rId2"/>
    <sheet name="Spherical and Elliptical Heads" sheetId="3" r:id="rId3"/>
    <sheet name="Figures" sheetId="4" r:id="rId4"/>
  </sheets>
  <definedNames>
    <definedName name="_xlnm.Print_Area" localSheetId="1">'Cylinderical Shells'!$A$1:$D$92</definedName>
    <definedName name="_xlnm.Print_Titles" localSheetId="1">'Cylinderical Shells'!$1:$3</definedName>
  </definedNames>
  <calcPr fullCalcOnLoad="1"/>
</workbook>
</file>

<file path=xl/sharedStrings.xml><?xml version="1.0" encoding="utf-8"?>
<sst xmlns="http://schemas.openxmlformats.org/spreadsheetml/2006/main" count="195" uniqueCount="166">
  <si>
    <t>ABS ANALYSIS - METALLIC PRESSURE BOUNDARY</t>
  </si>
  <si>
    <t>Cylinderical Shells Under External Pressure</t>
  </si>
  <si>
    <t>Shell Geometry</t>
  </si>
  <si>
    <t>t = Shell Plating Thickness (in)</t>
  </si>
  <si>
    <t>Shell Parameters</t>
  </si>
  <si>
    <t>Material Definition</t>
  </si>
  <si>
    <t>Material</t>
  </si>
  <si>
    <r>
      <t>n</t>
    </r>
    <r>
      <rPr>
        <sz val="10"/>
        <rFont val="Arial"/>
        <family val="0"/>
      </rPr>
      <t xml:space="preserve"> = Poisson's Ratio</t>
    </r>
  </si>
  <si>
    <r>
      <t>s</t>
    </r>
    <r>
      <rPr>
        <vertAlign val="subscript"/>
        <sz val="10"/>
        <rFont val="Arial"/>
        <family val="2"/>
      </rPr>
      <t>y</t>
    </r>
    <r>
      <rPr>
        <sz val="10"/>
        <rFont val="Arial"/>
        <family val="0"/>
      </rPr>
      <t xml:space="preserve"> = Yield Stress</t>
    </r>
  </si>
  <si>
    <t>n = Num. of Circumferential Lobes for Failure Calculation</t>
  </si>
  <si>
    <t>R = Radius to Midplane of Shell (in)</t>
  </si>
  <si>
    <r>
      <t>L</t>
    </r>
    <r>
      <rPr>
        <vertAlign val="subscript"/>
        <sz val="10"/>
        <rFont val="Arial"/>
        <family val="2"/>
      </rPr>
      <t>b</t>
    </r>
    <r>
      <rPr>
        <sz val="10"/>
        <rFont val="Arial"/>
        <family val="0"/>
      </rPr>
      <t xml:space="preserve"> = Unsupported spacing between stiffeners(in)</t>
    </r>
  </si>
  <si>
    <r>
      <t>L</t>
    </r>
    <r>
      <rPr>
        <vertAlign val="subscript"/>
        <sz val="10"/>
        <rFont val="Arial"/>
        <family val="2"/>
      </rPr>
      <t>s</t>
    </r>
    <r>
      <rPr>
        <sz val="10"/>
        <rFont val="Arial"/>
        <family val="0"/>
      </rPr>
      <t xml:space="preserve"> = Center to center spacing of stiffeners (in)</t>
    </r>
  </si>
  <si>
    <r>
      <t>L = Greater  of L</t>
    </r>
    <r>
      <rPr>
        <vertAlign val="subscript"/>
        <sz val="10"/>
        <rFont val="Arial"/>
        <family val="2"/>
      </rPr>
      <t>b</t>
    </r>
    <r>
      <rPr>
        <sz val="10"/>
        <rFont val="Arial"/>
        <family val="0"/>
      </rPr>
      <t xml:space="preserve"> or L</t>
    </r>
    <r>
      <rPr>
        <vertAlign val="subscript"/>
        <sz val="10"/>
        <rFont val="Arial"/>
        <family val="2"/>
      </rPr>
      <t>s</t>
    </r>
  </si>
  <si>
    <t>M</t>
  </si>
  <si>
    <t>q</t>
  </si>
  <si>
    <t>Q</t>
  </si>
  <si>
    <t xml:space="preserve">N </t>
  </si>
  <si>
    <t>G</t>
  </si>
  <si>
    <t>H</t>
  </si>
  <si>
    <t>a) Inter-stiffener strength is to be able to be obtained from the following equations</t>
  </si>
  <si>
    <t>E = Young's Modulus of Elasticity</t>
  </si>
  <si>
    <r>
      <t>t</t>
    </r>
    <r>
      <rPr>
        <vertAlign val="subscript"/>
        <sz val="10"/>
        <rFont val="Arial"/>
        <family val="2"/>
      </rPr>
      <t>w</t>
    </r>
    <r>
      <rPr>
        <sz val="10"/>
        <rFont val="Arial"/>
        <family val="0"/>
      </rPr>
      <t xml:space="preserve"> = Stiffener web Thickness (in)</t>
    </r>
  </si>
  <si>
    <r>
      <t>L</t>
    </r>
    <r>
      <rPr>
        <vertAlign val="subscript"/>
        <sz val="10"/>
        <rFont val="Arial"/>
        <family val="2"/>
      </rPr>
      <t>w</t>
    </r>
    <r>
      <rPr>
        <sz val="10"/>
        <rFont val="Arial"/>
        <family val="0"/>
      </rPr>
      <t xml:space="preserve"> = Stiffener web width (in)</t>
    </r>
  </si>
  <si>
    <r>
      <t>t</t>
    </r>
    <r>
      <rPr>
        <vertAlign val="subscript"/>
        <sz val="10"/>
        <rFont val="Arial"/>
        <family val="2"/>
      </rPr>
      <t>f</t>
    </r>
    <r>
      <rPr>
        <sz val="10"/>
        <rFont val="Arial"/>
        <family val="0"/>
      </rPr>
      <t xml:space="preserve"> = Flange Thickness (in)</t>
    </r>
  </si>
  <si>
    <r>
      <t>L</t>
    </r>
    <r>
      <rPr>
        <vertAlign val="subscript"/>
        <sz val="10"/>
        <rFont val="Arial"/>
        <family val="2"/>
      </rPr>
      <t>f</t>
    </r>
    <r>
      <rPr>
        <sz val="10"/>
        <rFont val="Arial"/>
        <family val="0"/>
      </rPr>
      <t xml:space="preserve"> = Flange Width (in)</t>
    </r>
  </si>
  <si>
    <r>
      <t>R</t>
    </r>
    <r>
      <rPr>
        <vertAlign val="subscript"/>
        <sz val="10"/>
        <rFont val="Arial"/>
        <family val="2"/>
      </rPr>
      <t>s</t>
    </r>
    <r>
      <rPr>
        <sz val="10"/>
        <rFont val="Arial"/>
        <family val="0"/>
      </rPr>
      <t xml:space="preserve"> = Radius to centroid of stiffener cross section only</t>
    </r>
  </si>
  <si>
    <t>Inter-Stiffener Strength (assuming internal stiffeners)</t>
  </si>
  <si>
    <t>F</t>
  </si>
  <si>
    <t xml:space="preserve">A </t>
  </si>
  <si>
    <r>
      <t>g</t>
    </r>
    <r>
      <rPr>
        <sz val="10"/>
        <rFont val="Arial"/>
        <family val="2"/>
      </rPr>
      <t xml:space="preserve"> </t>
    </r>
  </si>
  <si>
    <t>b) The limit pressure corresponding to the longitudinal stress at stiffeners reaching yield, is given by the following:</t>
  </si>
  <si>
    <r>
      <t>A</t>
    </r>
    <r>
      <rPr>
        <vertAlign val="subscript"/>
        <sz val="10"/>
        <rFont val="Arial"/>
        <family val="2"/>
      </rPr>
      <t>2</t>
    </r>
    <r>
      <rPr>
        <sz val="10"/>
        <rFont val="Arial"/>
        <family val="0"/>
      </rPr>
      <t xml:space="preserve"> </t>
    </r>
  </si>
  <si>
    <r>
      <t>l</t>
    </r>
    <r>
      <rPr>
        <sz val="10"/>
        <rFont val="Arial"/>
        <family val="2"/>
      </rPr>
      <t xml:space="preserve"> </t>
    </r>
  </si>
  <si>
    <r>
      <t>A</t>
    </r>
    <r>
      <rPr>
        <vertAlign val="subscript"/>
        <sz val="10"/>
        <rFont val="Arial"/>
        <family val="2"/>
      </rPr>
      <t>1</t>
    </r>
    <r>
      <rPr>
        <sz val="10"/>
        <rFont val="Arial"/>
        <family val="0"/>
      </rPr>
      <t xml:space="preserve"> </t>
    </r>
  </si>
  <si>
    <r>
      <t>L</t>
    </r>
    <r>
      <rPr>
        <vertAlign val="subscript"/>
        <sz val="10"/>
        <rFont val="Arial"/>
        <family val="2"/>
      </rPr>
      <t xml:space="preserve">e </t>
    </r>
    <r>
      <rPr>
        <sz val="10"/>
        <rFont val="Arial"/>
        <family val="2"/>
      </rPr>
      <t>= Effective lengh of cylinder shell acting with stiffener (in)</t>
    </r>
  </si>
  <si>
    <r>
      <t>I = Moment of inertia for combined section (in</t>
    </r>
    <r>
      <rPr>
        <vertAlign val="superscript"/>
        <sz val="10"/>
        <rFont val="Arial"/>
        <family val="2"/>
      </rPr>
      <t>4</t>
    </r>
    <r>
      <rPr>
        <sz val="10"/>
        <rFont val="Arial"/>
        <family val="2"/>
      </rPr>
      <t>)</t>
    </r>
  </si>
  <si>
    <r>
      <t>D</t>
    </r>
    <r>
      <rPr>
        <vertAlign val="subscript"/>
        <sz val="10"/>
        <rFont val="Arial"/>
        <family val="2"/>
      </rPr>
      <t>o</t>
    </r>
    <r>
      <rPr>
        <sz val="10"/>
        <rFont val="Arial"/>
        <family val="0"/>
      </rPr>
      <t xml:space="preserve"> = Outside Diameter of Shell (in)</t>
    </r>
  </si>
  <si>
    <t xml:space="preserve"> </t>
  </si>
  <si>
    <r>
      <t>L</t>
    </r>
    <r>
      <rPr>
        <vertAlign val="subscript"/>
        <sz val="10"/>
        <rFont val="Arial"/>
        <family val="2"/>
      </rPr>
      <t>c</t>
    </r>
    <r>
      <rPr>
        <sz val="10"/>
        <rFont val="Arial"/>
        <family val="0"/>
      </rPr>
      <t xml:space="preserve"> = Length Between Bulkheads (in)</t>
    </r>
  </si>
  <si>
    <r>
      <t>R</t>
    </r>
    <r>
      <rPr>
        <vertAlign val="subscript"/>
        <sz val="10"/>
        <rFont val="Arial"/>
        <family val="2"/>
      </rPr>
      <t>f</t>
    </r>
    <r>
      <rPr>
        <sz val="10"/>
        <rFont val="Arial"/>
        <family val="0"/>
      </rPr>
      <t xml:space="preserve"> = Radius to tip of the stiffener away from the shell (in)</t>
    </r>
  </si>
  <si>
    <r>
      <t>R</t>
    </r>
    <r>
      <rPr>
        <vertAlign val="subscript"/>
        <sz val="10"/>
        <rFont val="Arial"/>
        <family val="2"/>
      </rPr>
      <t>o</t>
    </r>
    <r>
      <rPr>
        <sz val="10"/>
        <rFont val="Arial"/>
        <family val="0"/>
      </rPr>
      <t xml:space="preserve"> = Outside Radius of Shell (in)</t>
    </r>
  </si>
  <si>
    <t>Stiffener Properties</t>
  </si>
  <si>
    <r>
      <t>L</t>
    </r>
    <r>
      <rPr>
        <vertAlign val="subscript"/>
        <sz val="10"/>
        <rFont val="Arial"/>
        <family val="2"/>
      </rPr>
      <t xml:space="preserve">e </t>
    </r>
    <r>
      <rPr>
        <sz val="10"/>
        <rFont val="Arial"/>
        <family val="2"/>
      </rPr>
      <t>= 0.75L</t>
    </r>
    <r>
      <rPr>
        <vertAlign val="subscript"/>
        <sz val="10"/>
        <rFont val="Arial"/>
        <family val="2"/>
      </rPr>
      <t xml:space="preserve">s              </t>
    </r>
    <r>
      <rPr>
        <sz val="10"/>
        <rFont val="Arial"/>
        <family val="2"/>
      </rPr>
      <t>(Second Equation)</t>
    </r>
  </si>
  <si>
    <r>
      <t>L</t>
    </r>
    <r>
      <rPr>
        <vertAlign val="subscript"/>
        <sz val="10"/>
        <rFont val="Arial"/>
        <family val="2"/>
      </rPr>
      <t xml:space="preserve">e </t>
    </r>
    <r>
      <rPr>
        <sz val="10"/>
        <rFont val="Arial"/>
        <family val="2"/>
      </rPr>
      <t>= 1.5*(Rt)</t>
    </r>
    <r>
      <rPr>
        <vertAlign val="superscript"/>
        <sz val="10"/>
        <rFont val="Arial"/>
        <family val="2"/>
      </rPr>
      <t xml:space="preserve">0.5       </t>
    </r>
    <r>
      <rPr>
        <sz val="10"/>
        <rFont val="Arial"/>
        <family val="2"/>
      </rPr>
      <t>(First Equation)</t>
    </r>
  </si>
  <si>
    <r>
      <t>I</t>
    </r>
    <r>
      <rPr>
        <vertAlign val="subscript"/>
        <sz val="10"/>
        <rFont val="Arial"/>
        <family val="2"/>
      </rPr>
      <t>z</t>
    </r>
    <r>
      <rPr>
        <sz val="10"/>
        <rFont val="Arial"/>
        <family val="2"/>
      </rPr>
      <t xml:space="preserve"> = Moment of stiffener alone (in</t>
    </r>
    <r>
      <rPr>
        <vertAlign val="superscript"/>
        <sz val="10"/>
        <rFont val="Arial"/>
        <family val="2"/>
      </rPr>
      <t>4</t>
    </r>
    <r>
      <rPr>
        <sz val="10"/>
        <rFont val="Arial"/>
        <family val="2"/>
      </rPr>
      <t>)</t>
    </r>
  </si>
  <si>
    <t>Non-Heavy Stiffeners</t>
  </si>
  <si>
    <t>(a) Stress Limits</t>
  </si>
  <si>
    <r>
      <t>s</t>
    </r>
    <r>
      <rPr>
        <vertAlign val="subscript"/>
        <sz val="10"/>
        <rFont val="Symbol"/>
        <family val="1"/>
      </rPr>
      <t>T</t>
    </r>
    <r>
      <rPr>
        <sz val="10"/>
        <rFont val="Arial"/>
        <family val="0"/>
      </rPr>
      <t xml:space="preserve"> = Circumferential tripping stress (psia), OK if &gt; </t>
    </r>
    <r>
      <rPr>
        <sz val="10"/>
        <rFont val="Symbol"/>
        <family val="1"/>
      </rPr>
      <t>s</t>
    </r>
    <r>
      <rPr>
        <vertAlign val="subscript"/>
        <sz val="10"/>
        <rFont val="Arial"/>
        <family val="2"/>
      </rPr>
      <t>y</t>
    </r>
  </si>
  <si>
    <t>(c) Local Buckling</t>
  </si>
  <si>
    <t>Web Depth/Thickness</t>
  </si>
  <si>
    <r>
      <t>0.9*(E/</t>
    </r>
    <r>
      <rPr>
        <sz val="10"/>
        <rFont val="Symbol"/>
        <family val="1"/>
      </rPr>
      <t>s</t>
    </r>
    <r>
      <rPr>
        <vertAlign val="subscript"/>
        <sz val="10"/>
        <rFont val="Arial"/>
        <family val="2"/>
      </rPr>
      <t>y</t>
    </r>
    <r>
      <rPr>
        <sz val="10"/>
        <rFont val="Arial"/>
        <family val="0"/>
      </rPr>
      <t>)</t>
    </r>
    <r>
      <rPr>
        <vertAlign val="superscript"/>
        <sz val="10"/>
        <rFont val="Arial"/>
        <family val="2"/>
      </rPr>
      <t>0.5</t>
    </r>
  </si>
  <si>
    <r>
      <t>Web Depth/Thickness &lt; 0.9*(E/</t>
    </r>
    <r>
      <rPr>
        <sz val="10"/>
        <rFont val="Symbol"/>
        <family val="1"/>
      </rPr>
      <t>s</t>
    </r>
    <r>
      <rPr>
        <vertAlign val="subscript"/>
        <sz val="10"/>
        <rFont val="Arial"/>
        <family val="2"/>
      </rPr>
      <t>y</t>
    </r>
    <r>
      <rPr>
        <sz val="10"/>
        <rFont val="Arial"/>
        <family val="0"/>
      </rPr>
      <t>)</t>
    </r>
    <r>
      <rPr>
        <vertAlign val="superscript"/>
        <sz val="10"/>
        <rFont val="Arial"/>
        <family val="2"/>
      </rPr>
      <t>0.5</t>
    </r>
  </si>
  <si>
    <t>(d) Inertia Requirment</t>
  </si>
  <si>
    <r>
      <t>r</t>
    </r>
    <r>
      <rPr>
        <sz val="10"/>
        <rFont val="Arial"/>
        <family val="0"/>
      </rPr>
      <t xml:space="preserve"> = Density (lbm/in</t>
    </r>
    <r>
      <rPr>
        <vertAlign val="superscript"/>
        <sz val="10"/>
        <rFont val="Arial"/>
        <family val="2"/>
      </rPr>
      <t>3</t>
    </r>
    <r>
      <rPr>
        <sz val="10"/>
        <rFont val="Arial"/>
        <family val="0"/>
      </rPr>
      <t>)</t>
    </r>
  </si>
  <si>
    <t>Out-of-roundness as percent of R</t>
  </si>
  <si>
    <r>
      <t>d</t>
    </r>
    <r>
      <rPr>
        <sz val="10"/>
        <rFont val="Arial"/>
        <family val="2"/>
      </rPr>
      <t xml:space="preserve"> = Allowable out of roundness,  in</t>
    </r>
  </si>
  <si>
    <r>
      <t>A</t>
    </r>
    <r>
      <rPr>
        <vertAlign val="subscript"/>
        <sz val="10"/>
        <rFont val="Arial"/>
        <family val="2"/>
      </rPr>
      <t>t</t>
    </r>
    <r>
      <rPr>
        <sz val="10"/>
        <rFont val="Arial"/>
        <family val="0"/>
      </rPr>
      <t xml:space="preserve"> = Area of Frame and Shell section L</t>
    </r>
    <r>
      <rPr>
        <vertAlign val="subscript"/>
        <sz val="10"/>
        <rFont val="Arial"/>
        <family val="2"/>
      </rPr>
      <t>e</t>
    </r>
    <r>
      <rPr>
        <sz val="10"/>
        <rFont val="Arial"/>
        <family val="0"/>
      </rPr>
      <t xml:space="preserve"> (in</t>
    </r>
    <r>
      <rPr>
        <vertAlign val="superscript"/>
        <sz val="10"/>
        <rFont val="Arial"/>
        <family val="2"/>
      </rPr>
      <t>2</t>
    </r>
    <r>
      <rPr>
        <sz val="10"/>
        <rFont val="Arial"/>
        <family val="0"/>
      </rPr>
      <t>)</t>
    </r>
  </si>
  <si>
    <t>D = Diameter of Midplane of Shell (in)</t>
  </si>
  <si>
    <t>Overall Buckling Strength (General Instability)</t>
  </si>
  <si>
    <t>Spherical Shells Under External Pressure</t>
  </si>
  <si>
    <r>
      <t>P</t>
    </r>
    <r>
      <rPr>
        <vertAlign val="subscript"/>
        <sz val="10"/>
        <rFont val="Arial"/>
        <family val="2"/>
      </rPr>
      <t>es</t>
    </r>
    <r>
      <rPr>
        <sz val="10"/>
        <rFont val="Arial"/>
        <family val="0"/>
      </rPr>
      <t xml:space="preserve"> (psig)</t>
    </r>
  </si>
  <si>
    <r>
      <t>P</t>
    </r>
    <r>
      <rPr>
        <vertAlign val="subscript"/>
        <sz val="10"/>
        <rFont val="Arial"/>
        <family val="2"/>
      </rPr>
      <t>ys</t>
    </r>
    <r>
      <rPr>
        <sz val="10"/>
        <rFont val="Arial"/>
        <family val="0"/>
      </rPr>
      <t xml:space="preserve"> (psig)</t>
    </r>
  </si>
  <si>
    <r>
      <t>P</t>
    </r>
    <r>
      <rPr>
        <vertAlign val="subscript"/>
        <sz val="10"/>
        <rFont val="Arial"/>
        <family val="2"/>
      </rPr>
      <t>es</t>
    </r>
    <r>
      <rPr>
        <sz val="10"/>
        <rFont val="Arial"/>
        <family val="0"/>
      </rPr>
      <t>/P</t>
    </r>
    <r>
      <rPr>
        <vertAlign val="subscript"/>
        <sz val="10"/>
        <rFont val="Arial"/>
        <family val="2"/>
      </rPr>
      <t>ys</t>
    </r>
    <r>
      <rPr>
        <sz val="10"/>
        <rFont val="Arial"/>
        <family val="0"/>
      </rPr>
      <t xml:space="preserve"> </t>
    </r>
  </si>
  <si>
    <r>
      <t>P</t>
    </r>
    <r>
      <rPr>
        <vertAlign val="subscript"/>
        <sz val="10"/>
        <rFont val="Arial"/>
        <family val="2"/>
      </rPr>
      <t>cs</t>
    </r>
    <r>
      <rPr>
        <sz val="10"/>
        <rFont val="Arial"/>
        <family val="0"/>
      </rPr>
      <t>/P</t>
    </r>
    <r>
      <rPr>
        <vertAlign val="subscript"/>
        <sz val="10"/>
        <rFont val="Arial"/>
        <family val="2"/>
      </rPr>
      <t>ys</t>
    </r>
    <r>
      <rPr>
        <sz val="10"/>
        <rFont val="Arial"/>
        <family val="0"/>
      </rPr>
      <t xml:space="preserve"> </t>
    </r>
  </si>
  <si>
    <r>
      <t>h</t>
    </r>
    <r>
      <rPr>
        <sz val="10"/>
        <rFont val="Arial"/>
        <family val="0"/>
      </rPr>
      <t xml:space="preserve"> = for maximum allowable working pressure</t>
    </r>
  </si>
  <si>
    <r>
      <t>P</t>
    </r>
    <r>
      <rPr>
        <vertAlign val="subscript"/>
        <sz val="10"/>
        <rFont val="Arial"/>
        <family val="2"/>
      </rPr>
      <t xml:space="preserve">a </t>
    </r>
    <r>
      <rPr>
        <sz val="10"/>
        <rFont val="Arial"/>
        <family val="2"/>
      </rPr>
      <t xml:space="preserve">= Maximum Allowable working pressure  (psig) </t>
    </r>
  </si>
  <si>
    <t>D = Diameter of Midplane of Sphere (in)</t>
  </si>
  <si>
    <r>
      <t>D</t>
    </r>
    <r>
      <rPr>
        <vertAlign val="subscript"/>
        <sz val="10"/>
        <rFont val="Arial"/>
        <family val="2"/>
      </rPr>
      <t>o</t>
    </r>
    <r>
      <rPr>
        <sz val="10"/>
        <rFont val="Arial"/>
        <family val="0"/>
      </rPr>
      <t xml:space="preserve"> = Outside Diameter of Sphere (in)</t>
    </r>
  </si>
  <si>
    <r>
      <t>R</t>
    </r>
    <r>
      <rPr>
        <vertAlign val="subscript"/>
        <sz val="10"/>
        <rFont val="Arial"/>
        <family val="2"/>
      </rPr>
      <t>o</t>
    </r>
    <r>
      <rPr>
        <sz val="10"/>
        <rFont val="Arial"/>
        <family val="0"/>
      </rPr>
      <t xml:space="preserve"> = Outside Radius of Sphere (in)</t>
    </r>
  </si>
  <si>
    <t>t = Sphere Plating Thickness (in)</t>
  </si>
  <si>
    <t>Shell Geometry for Sphere or Hemisphere Head</t>
  </si>
  <si>
    <t>Ellipsoidal Head</t>
  </si>
  <si>
    <r>
      <t>R</t>
    </r>
    <r>
      <rPr>
        <vertAlign val="subscript"/>
        <sz val="10"/>
        <rFont val="Arial"/>
        <family val="2"/>
      </rPr>
      <t>e</t>
    </r>
    <r>
      <rPr>
        <sz val="10"/>
        <rFont val="Arial"/>
        <family val="0"/>
      </rPr>
      <t xml:space="preserve"> = Equvalent spherical radius, in</t>
    </r>
  </si>
  <si>
    <r>
      <t>D</t>
    </r>
    <r>
      <rPr>
        <vertAlign val="subscript"/>
        <sz val="10"/>
        <rFont val="Arial"/>
        <family val="2"/>
      </rPr>
      <t>i</t>
    </r>
    <r>
      <rPr>
        <sz val="10"/>
        <rFont val="Arial"/>
        <family val="0"/>
      </rPr>
      <t xml:space="preserve"> = Inner diameter of head (in)</t>
    </r>
  </si>
  <si>
    <r>
      <t>D</t>
    </r>
    <r>
      <rPr>
        <vertAlign val="subscript"/>
        <sz val="10"/>
        <rFont val="Arial"/>
        <family val="2"/>
      </rPr>
      <t>o</t>
    </r>
    <r>
      <rPr>
        <sz val="10"/>
        <rFont val="Arial"/>
        <family val="0"/>
      </rPr>
      <t xml:space="preserve"> = Outer diameter of head (in)</t>
    </r>
  </si>
  <si>
    <t>h = head inside depth, measured along the tangent line (in)</t>
  </si>
  <si>
    <r>
      <t>h</t>
    </r>
    <r>
      <rPr>
        <sz val="10"/>
        <rFont val="Arial"/>
        <family val="0"/>
      </rPr>
      <t xml:space="preserve"> = for maximum allowable working pressure for head</t>
    </r>
  </si>
  <si>
    <r>
      <t>P</t>
    </r>
    <r>
      <rPr>
        <vertAlign val="subscript"/>
        <sz val="10"/>
        <rFont val="Arial"/>
        <family val="2"/>
      </rPr>
      <t xml:space="preserve">a </t>
    </r>
    <r>
      <rPr>
        <sz val="10"/>
        <rFont val="Arial"/>
        <family val="2"/>
      </rPr>
      <t xml:space="preserve">= Maximum Allowable working pressure oor head  (psig) </t>
    </r>
  </si>
  <si>
    <t>a) Limit pressure for spherical shells and hemi. heads</t>
  </si>
  <si>
    <t>a) Limit pressure for eliptical heads</t>
  </si>
  <si>
    <t>b) Shape Limination Test</t>
  </si>
  <si>
    <t>Maximum Wall thickness, in</t>
  </si>
  <si>
    <t>Minimum Wall thickness, in</t>
  </si>
  <si>
    <t>Minimum wall thickness test</t>
  </si>
  <si>
    <t>Maximum wall thickness test</t>
  </si>
  <si>
    <t>D = Mean diameter of head (in)</t>
  </si>
  <si>
    <t>Minimum h, in</t>
  </si>
  <si>
    <t>Minimum h test</t>
  </si>
  <si>
    <r>
      <t>Minimum l</t>
    </r>
    <r>
      <rPr>
        <vertAlign val="subscript"/>
        <sz val="10"/>
        <rFont val="Arial"/>
        <family val="2"/>
      </rPr>
      <t>h</t>
    </r>
    <r>
      <rPr>
        <sz val="10"/>
        <rFont val="Arial"/>
        <family val="0"/>
      </rPr>
      <t>, in</t>
    </r>
  </si>
  <si>
    <r>
      <t>Minimum l</t>
    </r>
    <r>
      <rPr>
        <vertAlign val="subscript"/>
        <sz val="10"/>
        <rFont val="Arial"/>
        <family val="2"/>
      </rPr>
      <t>h</t>
    </r>
    <r>
      <rPr>
        <sz val="10"/>
        <rFont val="Arial"/>
        <family val="0"/>
      </rPr>
      <t xml:space="preserve"> test</t>
    </r>
  </si>
  <si>
    <r>
      <t>l</t>
    </r>
    <r>
      <rPr>
        <vertAlign val="subscript"/>
        <sz val="10"/>
        <rFont val="Arial"/>
        <family val="2"/>
      </rPr>
      <t>h</t>
    </r>
    <r>
      <rPr>
        <sz val="10"/>
        <rFont val="Arial"/>
        <family val="0"/>
      </rPr>
      <t xml:space="preserve"> = Skirt dimension (in)</t>
    </r>
  </si>
  <si>
    <r>
      <t>P</t>
    </r>
    <r>
      <rPr>
        <vertAlign val="subscript"/>
        <sz val="10"/>
        <rFont val="Arial"/>
        <family val="2"/>
      </rPr>
      <t xml:space="preserve">y </t>
    </r>
    <r>
      <rPr>
        <sz val="10"/>
        <rFont val="Arial"/>
        <family val="2"/>
      </rPr>
      <t>= Yield Pres. at midbay and midplane of a cylinder (psig)</t>
    </r>
  </si>
  <si>
    <r>
      <t>P</t>
    </r>
    <r>
      <rPr>
        <vertAlign val="subscript"/>
        <sz val="10"/>
        <rFont val="Arial"/>
        <family val="2"/>
      </rPr>
      <t xml:space="preserve">m </t>
    </r>
    <r>
      <rPr>
        <sz val="10"/>
        <rFont val="Arial"/>
        <family val="2"/>
      </rPr>
      <t>= Von Mises shell buckling pressure for a cylinder (psig)</t>
    </r>
  </si>
  <si>
    <r>
      <t>P</t>
    </r>
    <r>
      <rPr>
        <vertAlign val="subscript"/>
        <sz val="10"/>
        <rFont val="Arial"/>
        <family val="2"/>
      </rPr>
      <t xml:space="preserve">c </t>
    </r>
    <r>
      <rPr>
        <sz val="10"/>
        <rFont val="Arial"/>
        <family val="2"/>
      </rPr>
      <t>= Cylinder inter-stiffener limit pressure (psig)</t>
    </r>
  </si>
  <si>
    <r>
      <t>P</t>
    </r>
    <r>
      <rPr>
        <vertAlign val="subscript"/>
        <sz val="10"/>
        <rFont val="Arial"/>
        <family val="2"/>
      </rPr>
      <t xml:space="preserve">a </t>
    </r>
    <r>
      <rPr>
        <sz val="10"/>
        <rFont val="Arial"/>
        <family val="2"/>
      </rPr>
      <t xml:space="preserve">= Maximum Allowable working pressure based inter-stiffener strength (psig) </t>
    </r>
  </si>
  <si>
    <r>
      <t>P</t>
    </r>
    <r>
      <rPr>
        <vertAlign val="subscript"/>
        <sz val="10"/>
        <rFont val="Arial"/>
        <family val="2"/>
      </rPr>
      <t xml:space="preserve">l </t>
    </r>
    <r>
      <rPr>
        <sz val="10"/>
        <rFont val="Arial"/>
        <family val="2"/>
      </rPr>
      <t xml:space="preserve">= Cylinder stiffener long. yield stress pressure (psig) </t>
    </r>
  </si>
  <si>
    <r>
      <t>P</t>
    </r>
    <r>
      <rPr>
        <vertAlign val="subscript"/>
        <sz val="10"/>
        <rFont val="Arial"/>
        <family val="2"/>
      </rPr>
      <t xml:space="preserve">a </t>
    </r>
    <r>
      <rPr>
        <sz val="10"/>
        <rFont val="Arial"/>
        <family val="2"/>
      </rPr>
      <t xml:space="preserve">= Maximum Allowable working pressure based on longitudinal stress at the frame (psig) </t>
    </r>
  </si>
  <si>
    <r>
      <t>P</t>
    </r>
    <r>
      <rPr>
        <vertAlign val="subscript"/>
        <sz val="10"/>
        <rFont val="Arial"/>
        <family val="2"/>
      </rPr>
      <t xml:space="preserve">n </t>
    </r>
    <r>
      <rPr>
        <sz val="10"/>
        <rFont val="Arial"/>
        <family val="2"/>
      </rPr>
      <t xml:space="preserve">= Cylinder overall instability pressure (psig) </t>
    </r>
  </si>
  <si>
    <r>
      <t>P</t>
    </r>
    <r>
      <rPr>
        <vertAlign val="subscript"/>
        <sz val="10"/>
        <rFont val="Arial"/>
        <family val="2"/>
      </rPr>
      <t xml:space="preserve">a </t>
    </r>
    <r>
      <rPr>
        <sz val="10"/>
        <rFont val="Arial"/>
        <family val="2"/>
      </rPr>
      <t xml:space="preserve">= Maximum allowable working pressure based on overall buckling (psig) </t>
    </r>
  </si>
  <si>
    <r>
      <t>P</t>
    </r>
    <r>
      <rPr>
        <vertAlign val="subscript"/>
        <sz val="10"/>
        <rFont val="Arial"/>
        <family val="2"/>
      </rPr>
      <t xml:space="preserve">t </t>
    </r>
    <r>
      <rPr>
        <sz val="10"/>
        <rFont val="Arial"/>
        <family val="2"/>
      </rPr>
      <t xml:space="preserve">= Yield pressure (psig) </t>
    </r>
  </si>
  <si>
    <r>
      <t>P</t>
    </r>
    <r>
      <rPr>
        <vertAlign val="subscript"/>
        <sz val="10"/>
        <rFont val="Arial"/>
        <family val="2"/>
      </rPr>
      <t xml:space="preserve">a </t>
    </r>
    <r>
      <rPr>
        <sz val="10"/>
        <rFont val="Arial"/>
        <family val="2"/>
      </rPr>
      <t xml:space="preserve">= Maximum Allowable working pressure based on stiffener stress  (psig) </t>
    </r>
  </si>
  <si>
    <t>(b) Stiffener Tripping</t>
  </si>
  <si>
    <r>
      <t>h</t>
    </r>
    <r>
      <rPr>
        <sz val="10"/>
        <rFont val="Arial"/>
        <family val="0"/>
      </rPr>
      <t xml:space="preserve"> = for maximum allowable working pressure </t>
    </r>
  </si>
  <si>
    <t>Figures</t>
  </si>
  <si>
    <t>Minimum Pa , psig</t>
  </si>
  <si>
    <t>c) Calculated maximum depth</t>
  </si>
  <si>
    <t>30" Section</t>
  </si>
  <si>
    <t>10" section</t>
  </si>
  <si>
    <r>
      <t>Maximum depth (assuming density = 62.4 lbm/ft</t>
    </r>
    <r>
      <rPr>
        <vertAlign val="superscript"/>
        <sz val="10"/>
        <rFont val="Arial"/>
        <family val="2"/>
      </rPr>
      <t>3)</t>
    </r>
  </si>
  <si>
    <t>A516 gr 70</t>
  </si>
  <si>
    <r>
      <t>s</t>
    </r>
    <r>
      <rPr>
        <vertAlign val="subscript"/>
        <sz val="10"/>
        <rFont val="Symbol"/>
        <family val="1"/>
      </rPr>
      <t>T</t>
    </r>
    <r>
      <rPr>
        <sz val="10"/>
        <rFont val="Arial"/>
        <family val="0"/>
      </rPr>
      <t xml:space="preserve"> &gt; </t>
    </r>
    <r>
      <rPr>
        <sz val="10"/>
        <rFont val="Symbol"/>
        <family val="1"/>
      </rPr>
      <t>s</t>
    </r>
    <r>
      <rPr>
        <vertAlign val="subscript"/>
        <sz val="10"/>
        <rFont val="Arial"/>
        <family val="2"/>
      </rPr>
      <t xml:space="preserve">y </t>
    </r>
    <r>
      <rPr>
        <sz val="10"/>
        <rFont val="Arial"/>
        <family val="2"/>
      </rPr>
      <t>( not applicable if no stiffner)</t>
    </r>
  </si>
  <si>
    <t>30" Elliptical</t>
  </si>
  <si>
    <t>10" Elliptical</t>
  </si>
  <si>
    <r>
      <t>A</t>
    </r>
    <r>
      <rPr>
        <vertAlign val="subscript"/>
        <sz val="10"/>
        <rFont val="Arial"/>
        <family val="2"/>
      </rPr>
      <t>s</t>
    </r>
    <r>
      <rPr>
        <sz val="10"/>
        <rFont val="Arial"/>
        <family val="0"/>
      </rPr>
      <t xml:space="preserve"> = Area of Frame section only (in</t>
    </r>
    <r>
      <rPr>
        <vertAlign val="superscript"/>
        <sz val="10"/>
        <rFont val="Arial"/>
        <family val="2"/>
      </rPr>
      <t>2</t>
    </r>
    <r>
      <rPr>
        <sz val="10"/>
        <rFont val="Arial"/>
        <family val="0"/>
      </rPr>
      <t>)  (Zero for no stiffner)</t>
    </r>
  </si>
  <si>
    <t>Section ==&gt;</t>
  </si>
  <si>
    <r>
      <t>z</t>
    </r>
    <r>
      <rPr>
        <sz val="10"/>
        <rFont val="Arial"/>
        <family val="2"/>
      </rPr>
      <t xml:space="preserve"> = Dist. of centroid of stiffener alone to the closer shell surface</t>
    </r>
  </si>
  <si>
    <t>Flange Width / Flange Thickness</t>
  </si>
  <si>
    <r>
      <t>0.3*(E/</t>
    </r>
    <r>
      <rPr>
        <sz val="10"/>
        <rFont val="Symbol"/>
        <family val="1"/>
      </rPr>
      <t>s</t>
    </r>
    <r>
      <rPr>
        <vertAlign val="subscript"/>
        <sz val="10"/>
        <rFont val="Arial"/>
        <family val="2"/>
      </rPr>
      <t>y</t>
    </r>
    <r>
      <rPr>
        <sz val="10"/>
        <rFont val="Arial"/>
        <family val="0"/>
      </rPr>
      <t>)</t>
    </r>
    <r>
      <rPr>
        <vertAlign val="superscript"/>
        <sz val="10"/>
        <rFont val="Arial"/>
        <family val="2"/>
      </rPr>
      <t>0.5</t>
    </r>
  </si>
  <si>
    <r>
      <t>Flange Width/Thickness &lt; 0.3*(E/</t>
    </r>
    <r>
      <rPr>
        <sz val="10"/>
        <rFont val="Symbol"/>
        <family val="1"/>
      </rPr>
      <t>s</t>
    </r>
    <r>
      <rPr>
        <vertAlign val="subscript"/>
        <sz val="10"/>
        <rFont val="Arial"/>
        <family val="2"/>
      </rPr>
      <t>y</t>
    </r>
    <r>
      <rPr>
        <sz val="10"/>
        <rFont val="Arial"/>
        <family val="0"/>
      </rPr>
      <t>)</t>
    </r>
    <r>
      <rPr>
        <vertAlign val="superscript"/>
        <sz val="10"/>
        <rFont val="Arial"/>
        <family val="2"/>
      </rPr>
      <t>0.5</t>
    </r>
  </si>
  <si>
    <t>P at assumed maximum depth (psig)</t>
  </si>
  <si>
    <r>
      <t>r</t>
    </r>
    <r>
      <rPr>
        <vertAlign val="subscript"/>
        <sz val="10"/>
        <rFont val="Arial"/>
        <family val="2"/>
      </rPr>
      <t>w</t>
    </r>
    <r>
      <rPr>
        <sz val="10"/>
        <rFont val="Arial"/>
        <family val="0"/>
      </rPr>
      <t xml:space="preserve"> = Water Density (lbm/ft</t>
    </r>
    <r>
      <rPr>
        <vertAlign val="superscript"/>
        <sz val="10"/>
        <rFont val="Arial"/>
        <family val="2"/>
      </rPr>
      <t>3</t>
    </r>
    <r>
      <rPr>
        <sz val="10"/>
        <rFont val="Arial"/>
        <family val="0"/>
      </rPr>
      <t>)</t>
    </r>
  </si>
  <si>
    <t>E = Young's Modulus of Elasticity ( psi)</t>
  </si>
  <si>
    <r>
      <t>h</t>
    </r>
    <r>
      <rPr>
        <sz val="10"/>
        <rFont val="Arial"/>
        <family val="0"/>
      </rPr>
      <t xml:space="preserve"> = usage factor </t>
    </r>
  </si>
  <si>
    <t>Maximum depth (ft)</t>
  </si>
  <si>
    <t>c = distance from the outer surface of the stiffener flange to the neutral axis of the combined stiffener and effective shell section ( in )</t>
  </si>
  <si>
    <r>
      <t>P</t>
    </r>
    <r>
      <rPr>
        <vertAlign val="subscript"/>
        <sz val="10"/>
        <rFont val="Arial"/>
        <family val="2"/>
      </rPr>
      <t>a</t>
    </r>
    <r>
      <rPr>
        <sz val="10"/>
        <rFont val="Arial"/>
        <family val="0"/>
      </rPr>
      <t xml:space="preserve"> = Maximum External Pressure based on Moment of Inertia calculation (psig )</t>
    </r>
  </si>
  <si>
    <t>Note: "d" on drawing is "c" in ABS documentation</t>
  </si>
  <si>
    <r>
      <t>I &gt;= I</t>
    </r>
    <r>
      <rPr>
        <vertAlign val="subscript"/>
        <sz val="10"/>
        <rFont val="Arial"/>
        <family val="2"/>
      </rPr>
      <t xml:space="preserve">min </t>
    </r>
    <r>
      <rPr>
        <sz val="10"/>
        <rFont val="Arial"/>
        <family val="2"/>
      </rPr>
      <t>?</t>
    </r>
  </si>
  <si>
    <r>
      <t>I</t>
    </r>
    <r>
      <rPr>
        <vertAlign val="subscript"/>
        <sz val="10"/>
        <rFont val="Arial"/>
        <family val="2"/>
      </rPr>
      <t>min</t>
    </r>
    <r>
      <rPr>
        <sz val="10"/>
        <rFont val="Arial"/>
        <family val="0"/>
      </rPr>
      <t xml:space="preserve"> = Minimum required combined Moment of intertia (in</t>
    </r>
    <r>
      <rPr>
        <vertAlign val="superscript"/>
        <sz val="10"/>
        <rFont val="Arial"/>
        <family val="2"/>
      </rPr>
      <t>4</t>
    </r>
    <r>
      <rPr>
        <sz val="10"/>
        <rFont val="Arial"/>
        <family val="0"/>
      </rPr>
      <t>)</t>
    </r>
  </si>
  <si>
    <r>
      <t>Assumed Max operating depth ( ft ) &lt;== Change this to see how I</t>
    </r>
    <r>
      <rPr>
        <vertAlign val="subscript"/>
        <sz val="10"/>
        <rFont val="Arial"/>
        <family val="2"/>
      </rPr>
      <t>min</t>
    </r>
    <r>
      <rPr>
        <sz val="10"/>
        <rFont val="Arial"/>
        <family val="0"/>
      </rPr>
      <t xml:space="preserve"> changes</t>
    </r>
  </si>
  <si>
    <t>Minimum of all Pa's (psig)</t>
  </si>
  <si>
    <t>How to use this spreadsheet</t>
  </si>
  <si>
    <t>ASSUMPTIONS:</t>
  </si>
  <si>
    <t>Same material used throughout</t>
  </si>
  <si>
    <t>Stiffeners are of T profile, internal, with flange on smaller diameter</t>
  </si>
  <si>
    <t>There are no significant hull openings (stress at discontinuities not calculated)</t>
  </si>
  <si>
    <t>The white cells are for entering variables, green are calculated results (read-only)</t>
  </si>
  <si>
    <t>STEPS:</t>
  </si>
  <si>
    <t>Each different section or head should be analyzed to determine which component sets the maximum operating depth.</t>
  </si>
  <si>
    <t>Each column is for a separate section design, so they may be compared</t>
  </si>
  <si>
    <t>To start a new design, copy a previous column to get a new instance of all the formulas.</t>
  </si>
  <si>
    <t>2) Complete all white cells in the sheets</t>
  </si>
  <si>
    <t>3) Do not enter any data in colored cells as they contain spreadsheet formulas</t>
  </si>
  <si>
    <t>5) Vary the hull wall thickness, frame section design and frame spacing attempting to balance the Pa's. This is an iterative process.</t>
  </si>
  <si>
    <t>4) Vary "n", the Number of Circumferential Lobes for Failure Calculation, to determine the Pa (Maximum allowable working pressure)  based on overall buckling</t>
  </si>
  <si>
    <r>
      <t xml:space="preserve">7) To calculate a crush depth, set all usage factors, </t>
    </r>
    <r>
      <rPr>
        <sz val="10"/>
        <rFont val="Symbol"/>
        <family val="1"/>
      </rPr>
      <t>h</t>
    </r>
    <r>
      <rPr>
        <sz val="10"/>
        <rFont val="Arial"/>
        <family val="0"/>
      </rPr>
      <t>, to 1 and set Out-of-roundness as percent of R to zero.</t>
    </r>
  </si>
  <si>
    <t xml:space="preserve">or have any number of other mishaps in this type of vehicle. Use the information from this spreadsheet wisely and cautiously.   </t>
  </si>
  <si>
    <t>YOU are the one ultimately responsible for your life and the lives of others in your underwater vehicle.</t>
  </si>
  <si>
    <t>DISCLAIMER:</t>
  </si>
  <si>
    <t>Personal submersibles are potentially dangerous. You can drown, suffocate, be crushed, get the bends</t>
  </si>
  <si>
    <r>
      <t>r</t>
    </r>
    <r>
      <rPr>
        <sz val="10"/>
        <rFont val="Arial"/>
        <family val="0"/>
      </rPr>
      <t xml:space="preserve"> = Density (lb</t>
    </r>
    <r>
      <rPr>
        <vertAlign val="subscript"/>
        <sz val="10"/>
        <rFont val="Arial"/>
        <family val="2"/>
      </rPr>
      <t>m</t>
    </r>
    <r>
      <rPr>
        <sz val="10"/>
        <rFont val="Arial"/>
        <family val="0"/>
      </rPr>
      <t>/in</t>
    </r>
    <r>
      <rPr>
        <vertAlign val="superscript"/>
        <sz val="10"/>
        <rFont val="Arial"/>
        <family val="2"/>
      </rPr>
      <t>3</t>
    </r>
    <r>
      <rPr>
        <sz val="10"/>
        <rFont val="Arial"/>
        <family val="0"/>
      </rPr>
      <t>)</t>
    </r>
  </si>
  <si>
    <t>1) Review section 6, "Metallic Pressure Boundary Components" in ABS rules by double clicking on the PDF object icon below for the nomenclature and documentation of the equations used.</t>
  </si>
  <si>
    <t>Hull is comprised of cylindrical sections and spherical or elliptical heads</t>
  </si>
  <si>
    <t>6) The resulting maximum operating depth is the maximum depth ABS would certify this hull design to operate at.</t>
  </si>
  <si>
    <t>To prevent inadvertent changes to formulas, the sheets have been password protected.  The PW is CLR.</t>
  </si>
  <si>
    <t>It is recommended that the final hull design be reviewed by a licensed professional mechanical engineer.</t>
  </si>
  <si>
    <t>Rev: 5/18/2009</t>
  </si>
  <si>
    <t>Revision History:</t>
  </si>
  <si>
    <t>Original Version</t>
  </si>
  <si>
    <t>Default value for yield stress changed to 37700 psi for A516-70.  Note for this steel, the plastic deformation occurs around 38,000 psi and the minimum tensile strength is 70,000 psi.</t>
  </si>
  <si>
    <r>
      <t>D</t>
    </r>
    <r>
      <rPr>
        <vertAlign val="subscript"/>
        <sz val="10"/>
        <rFont val="Arial"/>
        <family val="2"/>
      </rPr>
      <t>i</t>
    </r>
    <r>
      <rPr>
        <sz val="10"/>
        <rFont val="Arial"/>
        <family val="0"/>
      </rPr>
      <t xml:space="preserve"> = Inside Diameter of Sphere (in)</t>
    </r>
  </si>
  <si>
    <t>For spherical heads, equations in C12 and C13 (and D12 and D13)  were reversed, i.e., diameter of shell inside diameter was being calculated as outside and outside shell diameter was being calculated as inside diameter.  This error only effects spherical heads not semi elliptical heads.</t>
  </si>
  <si>
    <t>D15 in cell D88 replaced with D12.  For Non-Heavy stiffeners, the length in equation should be Ls not Lc.  Lc is used only for Heavy Stiffeners</t>
  </si>
  <si>
    <t>In equation for cell C67 (and D67), equation was erroneously using the shell thickness  C26 and not the thickness of the flange C20.</t>
  </si>
  <si>
    <t>In the function Iz to calculate the Moment_of_Inertia of stiffener about radial axis through web mid point, the term       Lf * tf * (Lw / 2 + tf / 2) ^ 2     was added to correctly calculate the moment of inertia of the flange.  It was erroneously calculating the  sum of the moment of inertia of the flange and web each with respect to their own centroids rather than the midpoint of the web.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</si>
</sst>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0.0000000000000000000000"/>
    <numFmt numFmtId="171" formatCode="0.00000E+00"/>
    <numFmt numFmtId="172" formatCode="0.00000"/>
    <numFmt numFmtId="173" formatCode="[$-409]dddd\,\ mmmm\ dd\,\ yyyy"/>
    <numFmt numFmtId="174" formatCode="m/d/yy;@"/>
    <numFmt numFmtId="175" formatCode="mmm\-yyyy"/>
  </numFmts>
  <fonts count="48">
    <font>
      <sz val="10"/>
      <name val="Arial"/>
      <family val="0"/>
    </font>
    <font>
      <b/>
      <sz val="10"/>
      <name val="Arial"/>
      <family val="2"/>
    </font>
    <font>
      <sz val="10"/>
      <color indexed="10"/>
      <name val="Arial"/>
      <family val="2"/>
    </font>
    <font>
      <sz val="10"/>
      <name val="Symbol"/>
      <family val="1"/>
    </font>
    <font>
      <vertAlign val="subscript"/>
      <sz val="10"/>
      <name val="Arial"/>
      <family val="2"/>
    </font>
    <font>
      <vertAlign val="superscript"/>
      <sz val="10"/>
      <name val="Arial"/>
      <family val="2"/>
    </font>
    <font>
      <strike/>
      <sz val="10"/>
      <name val="Arial"/>
      <family val="2"/>
    </font>
    <font>
      <vertAlign val="subscript"/>
      <sz val="10"/>
      <name val="Symbol"/>
      <family val="1"/>
    </font>
    <font>
      <b/>
      <sz val="10"/>
      <color indexed="10"/>
      <name val="Arial"/>
      <family val="2"/>
    </font>
    <font>
      <b/>
      <sz val="14"/>
      <name val="Arial"/>
      <family val="2"/>
    </font>
    <font>
      <u val="single"/>
      <sz val="10"/>
      <color indexed="12"/>
      <name val="Arial"/>
      <family val="0"/>
    </font>
    <font>
      <u val="single"/>
      <sz val="10"/>
      <color indexed="36"/>
      <name val="Arial"/>
      <family val="0"/>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31"/>
        <bgColor indexed="64"/>
      </patternFill>
    </fill>
    <fill>
      <patternFill patternType="solid">
        <fgColor indexed="35"/>
        <bgColor indexed="64"/>
      </patternFill>
    </fill>
    <fill>
      <patternFill patternType="solid">
        <fgColor indexed="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0" fillId="33" borderId="0" xfId="0" applyFill="1" applyAlignment="1">
      <alignment/>
    </xf>
    <xf numFmtId="0" fontId="0" fillId="34" borderId="0" xfId="0" applyFill="1" applyAlignment="1">
      <alignment/>
    </xf>
    <xf numFmtId="164" fontId="0" fillId="35" borderId="0" xfId="0" applyNumberFormat="1" applyFill="1" applyAlignment="1">
      <alignment/>
    </xf>
    <xf numFmtId="0" fontId="1" fillId="0" borderId="0" xfId="0" applyFont="1" applyAlignment="1">
      <alignment/>
    </xf>
    <xf numFmtId="0" fontId="2" fillId="0" borderId="0" xfId="0" applyFont="1" applyAlignment="1">
      <alignment/>
    </xf>
    <xf numFmtId="0" fontId="0" fillId="36" borderId="0" xfId="0" applyFill="1" applyBorder="1" applyAlignment="1">
      <alignment horizontal="left" vertical="center" wrapText="1"/>
    </xf>
    <xf numFmtId="0" fontId="3" fillId="34" borderId="0" xfId="0" applyFont="1" applyFill="1" applyBorder="1" applyAlignment="1">
      <alignment horizontal="left"/>
    </xf>
    <xf numFmtId="0" fontId="3" fillId="36" borderId="0" xfId="0" applyFont="1" applyFill="1" applyBorder="1" applyAlignment="1">
      <alignment horizontal="left" vertical="center" wrapText="1"/>
    </xf>
    <xf numFmtId="2" fontId="0" fillId="36" borderId="0" xfId="0" applyNumberFormat="1" applyFill="1" applyBorder="1" applyAlignment="1">
      <alignment horizontal="left" vertical="center" wrapText="1"/>
    </xf>
    <xf numFmtId="2" fontId="0" fillId="35" borderId="0" xfId="0" applyNumberFormat="1" applyFill="1" applyAlignment="1">
      <alignment/>
    </xf>
    <xf numFmtId="2" fontId="0" fillId="0" borderId="0" xfId="0" applyNumberFormat="1" applyAlignment="1">
      <alignment/>
    </xf>
    <xf numFmtId="165" fontId="0" fillId="35" borderId="0" xfId="0" applyNumberFormat="1" applyFill="1" applyAlignment="1">
      <alignment/>
    </xf>
    <xf numFmtId="0" fontId="6"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5" borderId="0" xfId="0" applyNumberFormat="1" applyFill="1" applyAlignment="1">
      <alignment/>
    </xf>
    <xf numFmtId="164" fontId="1" fillId="35" borderId="0" xfId="0" applyNumberFormat="1" applyFont="1" applyFill="1" applyAlignment="1">
      <alignment/>
    </xf>
    <xf numFmtId="166" fontId="0" fillId="35" borderId="0" xfId="0" applyNumberFormat="1" applyFill="1" applyAlignment="1">
      <alignment/>
    </xf>
    <xf numFmtId="0" fontId="0" fillId="0" borderId="0" xfId="0" applyFont="1" applyAlignment="1">
      <alignment/>
    </xf>
    <xf numFmtId="3" fontId="0" fillId="35" borderId="0" xfId="0" applyNumberFormat="1" applyFont="1" applyFill="1" applyAlignment="1">
      <alignment/>
    </xf>
    <xf numFmtId="164" fontId="0" fillId="35" borderId="0" xfId="0" applyNumberFormat="1" applyFont="1" applyFill="1" applyAlignment="1">
      <alignment horizontal="right"/>
    </xf>
    <xf numFmtId="164" fontId="0" fillId="35" borderId="0" xfId="0" applyNumberFormat="1" applyFont="1" applyFill="1" applyAlignment="1">
      <alignment/>
    </xf>
    <xf numFmtId="0" fontId="8" fillId="0" borderId="0" xfId="0" applyFont="1" applyAlignment="1">
      <alignment/>
    </xf>
    <xf numFmtId="0" fontId="2" fillId="0" borderId="0" xfId="0" applyFont="1" applyAlignment="1">
      <alignment wrapText="1"/>
    </xf>
    <xf numFmtId="0" fontId="9" fillId="33" borderId="0" xfId="0" applyFont="1" applyFill="1" applyAlignment="1">
      <alignment/>
    </xf>
    <xf numFmtId="0" fontId="1" fillId="33" borderId="0" xfId="0" applyFont="1" applyFill="1" applyAlignment="1">
      <alignment/>
    </xf>
    <xf numFmtId="1" fontId="0" fillId="35" borderId="0" xfId="0" applyNumberFormat="1" applyFill="1" applyAlignment="1">
      <alignment/>
    </xf>
    <xf numFmtId="166" fontId="0" fillId="35" borderId="0" xfId="0" applyNumberFormat="1" applyFill="1" applyAlignment="1">
      <alignment horizontal="right"/>
    </xf>
    <xf numFmtId="0" fontId="0" fillId="0" borderId="0" xfId="0" applyFill="1" applyAlignment="1">
      <alignment/>
    </xf>
    <xf numFmtId="0" fontId="1" fillId="0" borderId="0" xfId="0" applyFont="1" applyFill="1" applyAlignment="1">
      <alignment horizontal="right"/>
    </xf>
    <xf numFmtId="1" fontId="0" fillId="35" borderId="0" xfId="0" applyNumberFormat="1" applyFont="1" applyFill="1" applyAlignment="1">
      <alignment/>
    </xf>
    <xf numFmtId="0" fontId="1" fillId="36" borderId="0" xfId="0" applyFont="1" applyFill="1" applyBorder="1" applyAlignment="1">
      <alignment horizontal="left" vertical="center" wrapText="1"/>
    </xf>
    <xf numFmtId="1" fontId="8" fillId="35" borderId="0" xfId="0" applyNumberFormat="1" applyFont="1" applyFill="1" applyAlignment="1">
      <alignment/>
    </xf>
    <xf numFmtId="0" fontId="12" fillId="33" borderId="0" xfId="0" applyFont="1" applyFill="1" applyAlignment="1">
      <alignment/>
    </xf>
    <xf numFmtId="0" fontId="0" fillId="0" borderId="0" xfId="0" applyNumberFormat="1" applyAlignment="1">
      <alignment/>
    </xf>
    <xf numFmtId="0" fontId="0" fillId="0" borderId="0" xfId="0" applyAlignment="1" applyProtection="1">
      <alignment/>
      <protection locked="0"/>
    </xf>
    <xf numFmtId="0" fontId="0" fillId="0" borderId="0" xfId="0" applyAlignment="1" applyProtection="1">
      <alignment horizontal="right"/>
      <protection locked="0"/>
    </xf>
    <xf numFmtId="3" fontId="0" fillId="0" borderId="0" xfId="0" applyNumberFormat="1" applyFill="1" applyAlignment="1" applyProtection="1">
      <alignment horizontal="right"/>
      <protection locked="0"/>
    </xf>
    <xf numFmtId="2" fontId="0" fillId="0" borderId="0" xfId="0" applyNumberFormat="1" applyFill="1" applyAlignment="1" applyProtection="1">
      <alignment horizontal="right"/>
      <protection locked="0"/>
    </xf>
    <xf numFmtId="3" fontId="0" fillId="0" borderId="0" xfId="0" applyNumberFormat="1" applyFill="1" applyAlignment="1" applyProtection="1">
      <alignment/>
      <protection locked="0"/>
    </xf>
    <xf numFmtId="2" fontId="0" fillId="0" borderId="0" xfId="0" applyNumberFormat="1" applyFill="1" applyAlignment="1" applyProtection="1">
      <alignment/>
      <protection locked="0"/>
    </xf>
    <xf numFmtId="2" fontId="0" fillId="0" borderId="0" xfId="0" applyNumberFormat="1" applyAlignment="1" applyProtection="1">
      <alignment/>
      <protection locked="0"/>
    </xf>
    <xf numFmtId="1" fontId="0" fillId="0" borderId="0" xfId="0" applyNumberFormat="1" applyFill="1"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horizontal="right"/>
      <protection locked="0"/>
    </xf>
    <xf numFmtId="164" fontId="0" fillId="0" borderId="0" xfId="0" applyNumberFormat="1" applyFont="1" applyFill="1" applyAlignment="1" applyProtection="1">
      <alignment/>
      <protection locked="0"/>
    </xf>
    <xf numFmtId="0" fontId="0" fillId="0" borderId="0" xfId="0" applyAlignment="1">
      <alignment/>
    </xf>
    <xf numFmtId="174" fontId="0" fillId="0" borderId="0" xfId="0" applyNumberFormat="1" applyAlignment="1">
      <alignment/>
    </xf>
    <xf numFmtId="0" fontId="0" fillId="33" borderId="0" xfId="0" applyFont="1" applyFill="1" applyAlignment="1">
      <alignment/>
    </xf>
    <xf numFmtId="0" fontId="0" fillId="34" borderId="0" xfId="0" applyFont="1" applyFill="1" applyAlignment="1">
      <alignment/>
    </xf>
    <xf numFmtId="0" fontId="9"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9.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30</xdr:row>
      <xdr:rowOff>95250</xdr:rowOff>
    </xdr:from>
    <xdr:to>
      <xdr:col>11</xdr:col>
      <xdr:colOff>19050</xdr:colOff>
      <xdr:row>35</xdr:row>
      <xdr:rowOff>38100</xdr:rowOff>
    </xdr:to>
    <xdr:sp>
      <xdr:nvSpPr>
        <xdr:cNvPr id="1" name="Text Box 5"/>
        <xdr:cNvSpPr txBox="1">
          <a:spLocks noChangeArrowheads="1"/>
        </xdr:cNvSpPr>
      </xdr:nvSpPr>
      <xdr:spPr>
        <a:xfrm>
          <a:off x="1828800" y="5086350"/>
          <a:ext cx="4895850"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RULES FOR BUILDING AND CLASSING UNDERWATER VEHICLES, SYSTEMS AND HYPERBARIC FACILITIES 2002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Metallic Pressure Boundary Components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xdr:row>
      <xdr:rowOff>95250</xdr:rowOff>
    </xdr:from>
    <xdr:to>
      <xdr:col>8</xdr:col>
      <xdr:colOff>600075</xdr:colOff>
      <xdr:row>18</xdr:row>
      <xdr:rowOff>142875</xdr:rowOff>
    </xdr:to>
    <xdr:pic>
      <xdr:nvPicPr>
        <xdr:cNvPr id="1" name="Picture 1"/>
        <xdr:cNvPicPr preferRelativeResize="1">
          <a:picLocks noChangeAspect="1"/>
        </xdr:cNvPicPr>
      </xdr:nvPicPr>
      <xdr:blipFill>
        <a:blip r:embed="rId1"/>
        <a:srcRect l="6747"/>
        <a:stretch>
          <a:fillRect/>
        </a:stretch>
      </xdr:blipFill>
      <xdr:spPr>
        <a:xfrm>
          <a:off x="85725" y="647700"/>
          <a:ext cx="5391150" cy="2476500"/>
        </a:xfrm>
        <a:prstGeom prst="rect">
          <a:avLst/>
        </a:prstGeom>
        <a:noFill/>
        <a:ln w="1" cmpd="sng">
          <a:noFill/>
        </a:ln>
      </xdr:spPr>
    </xdr:pic>
    <xdr:clientData/>
  </xdr:twoCellAnchor>
  <xdr:twoCellAnchor editAs="oneCell">
    <xdr:from>
      <xdr:col>0</xdr:col>
      <xdr:colOff>85725</xdr:colOff>
      <xdr:row>19</xdr:row>
      <xdr:rowOff>57150</xdr:rowOff>
    </xdr:from>
    <xdr:to>
      <xdr:col>8</xdr:col>
      <xdr:colOff>542925</xdr:colOff>
      <xdr:row>46</xdr:row>
      <xdr:rowOff>114300</xdr:rowOff>
    </xdr:to>
    <xdr:pic>
      <xdr:nvPicPr>
        <xdr:cNvPr id="2" name="Picture 2"/>
        <xdr:cNvPicPr preferRelativeResize="1">
          <a:picLocks noChangeAspect="1"/>
        </xdr:cNvPicPr>
      </xdr:nvPicPr>
      <xdr:blipFill>
        <a:blip r:embed="rId2"/>
        <a:stretch>
          <a:fillRect/>
        </a:stretch>
      </xdr:blipFill>
      <xdr:spPr>
        <a:xfrm>
          <a:off x="85725" y="3200400"/>
          <a:ext cx="5334000" cy="4429125"/>
        </a:xfrm>
        <a:prstGeom prst="rect">
          <a:avLst/>
        </a:prstGeom>
        <a:noFill/>
        <a:ln w="1" cmpd="sng">
          <a:noFill/>
        </a:ln>
      </xdr:spPr>
    </xdr:pic>
    <xdr:clientData/>
  </xdr:twoCellAnchor>
  <xdr:twoCellAnchor editAs="oneCell">
    <xdr:from>
      <xdr:col>0</xdr:col>
      <xdr:colOff>38100</xdr:colOff>
      <xdr:row>51</xdr:row>
      <xdr:rowOff>47625</xdr:rowOff>
    </xdr:from>
    <xdr:to>
      <xdr:col>8</xdr:col>
      <xdr:colOff>552450</xdr:colOff>
      <xdr:row>72</xdr:row>
      <xdr:rowOff>57150</xdr:rowOff>
    </xdr:to>
    <xdr:pic>
      <xdr:nvPicPr>
        <xdr:cNvPr id="3" name="Picture 3"/>
        <xdr:cNvPicPr preferRelativeResize="1">
          <a:picLocks noChangeAspect="1"/>
        </xdr:cNvPicPr>
      </xdr:nvPicPr>
      <xdr:blipFill>
        <a:blip r:embed="rId3"/>
        <a:srcRect b="37081"/>
        <a:stretch>
          <a:fillRect/>
        </a:stretch>
      </xdr:blipFill>
      <xdr:spPr>
        <a:xfrm>
          <a:off x="38100" y="8372475"/>
          <a:ext cx="5391150" cy="3409950"/>
        </a:xfrm>
        <a:prstGeom prst="rect">
          <a:avLst/>
        </a:prstGeom>
        <a:noFill/>
        <a:ln w="1" cmpd="sng">
          <a:noFill/>
        </a:ln>
      </xdr:spPr>
    </xdr:pic>
    <xdr:clientData/>
  </xdr:twoCellAnchor>
  <xdr:twoCellAnchor editAs="oneCell">
    <xdr:from>
      <xdr:col>0</xdr:col>
      <xdr:colOff>9525</xdr:colOff>
      <xdr:row>102</xdr:row>
      <xdr:rowOff>19050</xdr:rowOff>
    </xdr:from>
    <xdr:to>
      <xdr:col>8</xdr:col>
      <xdr:colOff>533400</xdr:colOff>
      <xdr:row>139</xdr:row>
      <xdr:rowOff>76200</xdr:rowOff>
    </xdr:to>
    <xdr:pic>
      <xdr:nvPicPr>
        <xdr:cNvPr id="4" name="Picture 5"/>
        <xdr:cNvPicPr preferRelativeResize="1">
          <a:picLocks noChangeAspect="1"/>
        </xdr:cNvPicPr>
      </xdr:nvPicPr>
      <xdr:blipFill>
        <a:blip r:embed="rId4"/>
        <a:srcRect r="9106"/>
        <a:stretch>
          <a:fillRect/>
        </a:stretch>
      </xdr:blipFill>
      <xdr:spPr>
        <a:xfrm>
          <a:off x="9525" y="16602075"/>
          <a:ext cx="5400675" cy="6048375"/>
        </a:xfrm>
        <a:prstGeom prst="rect">
          <a:avLst/>
        </a:prstGeom>
        <a:noFill/>
        <a:ln w="1" cmpd="sng">
          <a:noFill/>
        </a:ln>
      </xdr:spPr>
    </xdr:pic>
    <xdr:clientData/>
  </xdr:twoCellAnchor>
  <xdr:twoCellAnchor>
    <xdr:from>
      <xdr:col>0</xdr:col>
      <xdr:colOff>323850</xdr:colOff>
      <xdr:row>73</xdr:row>
      <xdr:rowOff>85725</xdr:rowOff>
    </xdr:from>
    <xdr:to>
      <xdr:col>8</xdr:col>
      <xdr:colOff>295275</xdr:colOff>
      <xdr:row>94</xdr:row>
      <xdr:rowOff>28575</xdr:rowOff>
    </xdr:to>
    <xdr:grpSp>
      <xdr:nvGrpSpPr>
        <xdr:cNvPr id="5" name="Group 20"/>
        <xdr:cNvGrpSpPr>
          <a:grpSpLocks/>
        </xdr:cNvGrpSpPr>
      </xdr:nvGrpSpPr>
      <xdr:grpSpPr>
        <a:xfrm>
          <a:off x="323850" y="11972925"/>
          <a:ext cx="4848225" cy="3343275"/>
          <a:chOff x="34" y="1250"/>
          <a:chExt cx="509" cy="351"/>
        </a:xfrm>
        <a:solidFill>
          <a:srgbClr val="FFFFFF"/>
        </a:solidFill>
      </xdr:grpSpPr>
      <xdr:pic>
        <xdr:nvPicPr>
          <xdr:cNvPr id="6" name="Picture 7"/>
          <xdr:cNvPicPr preferRelativeResize="1">
            <a:picLocks noChangeAspect="1"/>
          </xdr:cNvPicPr>
        </xdr:nvPicPr>
        <xdr:blipFill>
          <a:blip r:embed="rId5"/>
          <a:srcRect l="19067" t="57194" r="18255" b="4006"/>
          <a:stretch>
            <a:fillRect/>
          </a:stretch>
        </xdr:blipFill>
        <xdr:spPr>
          <a:xfrm>
            <a:off x="34" y="1250"/>
            <a:ext cx="509" cy="351"/>
          </a:xfrm>
          <a:prstGeom prst="rect">
            <a:avLst/>
          </a:prstGeom>
          <a:noFill/>
          <a:ln w="1" cmpd="sng">
            <a:noFill/>
          </a:ln>
        </xdr:spPr>
      </xdr:pic>
      <xdr:sp>
        <xdr:nvSpPr>
          <xdr:cNvPr id="7" name="Text Box 8"/>
          <xdr:cNvSpPr txBox="1">
            <a:spLocks noChangeArrowheads="1"/>
          </xdr:cNvSpPr>
        </xdr:nvSpPr>
        <xdr:spPr>
          <a:xfrm>
            <a:off x="159" y="1462"/>
            <a:ext cx="25"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Lf</a:t>
            </a:r>
          </a:p>
        </xdr:txBody>
      </xdr:sp>
      <xdr:sp>
        <xdr:nvSpPr>
          <xdr:cNvPr id="8" name="Text Box 9"/>
          <xdr:cNvSpPr txBox="1">
            <a:spLocks noChangeArrowheads="1"/>
          </xdr:cNvSpPr>
        </xdr:nvSpPr>
        <xdr:spPr>
          <a:xfrm>
            <a:off x="104" y="1422"/>
            <a:ext cx="18" cy="21"/>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tf</a:t>
            </a:r>
          </a:p>
        </xdr:txBody>
      </xdr:sp>
      <xdr:sp>
        <xdr:nvSpPr>
          <xdr:cNvPr id="9" name="Text Box 10"/>
          <xdr:cNvSpPr txBox="1">
            <a:spLocks noChangeArrowheads="1"/>
          </xdr:cNvSpPr>
        </xdr:nvSpPr>
        <xdr:spPr>
          <a:xfrm>
            <a:off x="116" y="1385"/>
            <a:ext cx="23"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Lw</a:t>
            </a:r>
          </a:p>
        </xdr:txBody>
      </xdr:sp>
      <xdr:sp>
        <xdr:nvSpPr>
          <xdr:cNvPr id="10" name="Line 11"/>
          <xdr:cNvSpPr>
            <a:spLocks/>
          </xdr:cNvSpPr>
        </xdr:nvSpPr>
        <xdr:spPr>
          <a:xfrm flipV="1">
            <a:off x="161" y="1303"/>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2"/>
          <xdr:cNvSpPr>
            <a:spLocks/>
          </xdr:cNvSpPr>
        </xdr:nvSpPr>
        <xdr:spPr>
          <a:xfrm flipV="1">
            <a:off x="172" y="1299"/>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Box 13"/>
          <xdr:cNvSpPr txBox="1">
            <a:spLocks noChangeArrowheads="1"/>
          </xdr:cNvSpPr>
        </xdr:nvSpPr>
        <xdr:spPr>
          <a:xfrm>
            <a:off x="156" y="1278"/>
            <a:ext cx="21" cy="2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tw</a:t>
            </a:r>
          </a:p>
        </xdr:txBody>
      </xdr:sp>
      <xdr:sp>
        <xdr:nvSpPr>
          <xdr:cNvPr id="13" name="Line 14"/>
          <xdr:cNvSpPr>
            <a:spLocks/>
          </xdr:cNvSpPr>
        </xdr:nvSpPr>
        <xdr:spPr>
          <a:xfrm flipH="1">
            <a:off x="69" y="1424"/>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5"/>
          <xdr:cNvSpPr>
            <a:spLocks/>
          </xdr:cNvSpPr>
        </xdr:nvSpPr>
        <xdr:spPr>
          <a:xfrm flipH="1">
            <a:off x="69" y="1438"/>
            <a:ext cx="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6"/>
          <xdr:cNvSpPr>
            <a:spLocks/>
          </xdr:cNvSpPr>
        </xdr:nvSpPr>
        <xdr:spPr>
          <a:xfrm>
            <a:off x="141" y="1438"/>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7"/>
          <xdr:cNvSpPr>
            <a:spLocks/>
          </xdr:cNvSpPr>
        </xdr:nvSpPr>
        <xdr:spPr>
          <a:xfrm>
            <a:off x="194" y="1441"/>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8"/>
          <xdr:cNvSpPr>
            <a:spLocks/>
          </xdr:cNvSpPr>
        </xdr:nvSpPr>
        <xdr:spPr>
          <a:xfrm>
            <a:off x="143" y="1367"/>
            <a:ext cx="0" cy="58"/>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a:off x="142" y="1457"/>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333375</xdr:colOff>
      <xdr:row>151</xdr:row>
      <xdr:rowOff>114300</xdr:rowOff>
    </xdr:from>
    <xdr:to>
      <xdr:col>8</xdr:col>
      <xdr:colOff>333375</xdr:colOff>
      <xdr:row>174</xdr:row>
      <xdr:rowOff>19050</xdr:rowOff>
    </xdr:to>
    <xdr:pic>
      <xdr:nvPicPr>
        <xdr:cNvPr id="19" name="Picture 21"/>
        <xdr:cNvPicPr preferRelativeResize="1">
          <a:picLocks noChangeAspect="1"/>
        </xdr:cNvPicPr>
      </xdr:nvPicPr>
      <xdr:blipFill>
        <a:blip r:embed="rId6"/>
        <a:stretch>
          <a:fillRect/>
        </a:stretch>
      </xdr:blipFill>
      <xdr:spPr>
        <a:xfrm>
          <a:off x="333375" y="24631650"/>
          <a:ext cx="4876800" cy="3629025"/>
        </a:xfrm>
        <a:prstGeom prst="rect">
          <a:avLst/>
        </a:prstGeom>
        <a:noFill/>
        <a:ln w="1" cmpd="sng">
          <a:noFill/>
        </a:ln>
      </xdr:spPr>
    </xdr:pic>
    <xdr:clientData/>
  </xdr:twoCellAnchor>
  <xdr:twoCellAnchor editAs="oneCell">
    <xdr:from>
      <xdr:col>0</xdr:col>
      <xdr:colOff>247650</xdr:colOff>
      <xdr:row>175</xdr:row>
      <xdr:rowOff>114300</xdr:rowOff>
    </xdr:from>
    <xdr:to>
      <xdr:col>8</xdr:col>
      <xdr:colOff>209550</xdr:colOff>
      <xdr:row>194</xdr:row>
      <xdr:rowOff>152400</xdr:rowOff>
    </xdr:to>
    <xdr:pic>
      <xdr:nvPicPr>
        <xdr:cNvPr id="20" name="Picture 22"/>
        <xdr:cNvPicPr preferRelativeResize="1">
          <a:picLocks noChangeAspect="1"/>
        </xdr:cNvPicPr>
      </xdr:nvPicPr>
      <xdr:blipFill>
        <a:blip r:embed="rId7"/>
        <a:srcRect r="7130"/>
        <a:stretch>
          <a:fillRect/>
        </a:stretch>
      </xdr:blipFill>
      <xdr:spPr>
        <a:xfrm>
          <a:off x="247650" y="28517850"/>
          <a:ext cx="4838700" cy="3114675"/>
        </a:xfrm>
        <a:prstGeom prst="rect">
          <a:avLst/>
        </a:prstGeom>
        <a:noFill/>
        <a:ln w="1" cmpd="sng">
          <a:noFill/>
        </a:ln>
      </xdr:spPr>
    </xdr:pic>
    <xdr:clientData/>
  </xdr:twoCellAnchor>
  <xdr:twoCellAnchor editAs="oneCell">
    <xdr:from>
      <xdr:col>9</xdr:col>
      <xdr:colOff>504825</xdr:colOff>
      <xdr:row>154</xdr:row>
      <xdr:rowOff>66675</xdr:rowOff>
    </xdr:from>
    <xdr:to>
      <xdr:col>14</xdr:col>
      <xdr:colOff>561975</xdr:colOff>
      <xdr:row>181</xdr:row>
      <xdr:rowOff>95250</xdr:rowOff>
    </xdr:to>
    <xdr:pic>
      <xdr:nvPicPr>
        <xdr:cNvPr id="21" name="Picture 425"/>
        <xdr:cNvPicPr preferRelativeResize="1">
          <a:picLocks noChangeAspect="1"/>
        </xdr:cNvPicPr>
      </xdr:nvPicPr>
      <xdr:blipFill>
        <a:blip r:embed="rId8"/>
        <a:stretch>
          <a:fillRect/>
        </a:stretch>
      </xdr:blipFill>
      <xdr:spPr>
        <a:xfrm>
          <a:off x="5991225" y="25069800"/>
          <a:ext cx="3105150" cy="4400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L48"/>
  <sheetViews>
    <sheetView tabSelected="1" zoomScalePageLayoutView="0" workbookViewId="0" topLeftCell="A1">
      <selection activeCell="N23" sqref="N23"/>
    </sheetView>
  </sheetViews>
  <sheetFormatPr defaultColWidth="9.140625" defaultRowHeight="12.75"/>
  <sheetData>
    <row r="1" spans="1:12" ht="23.25">
      <c r="A1" s="33" t="s">
        <v>132</v>
      </c>
      <c r="B1" s="1"/>
      <c r="C1" s="1"/>
      <c r="D1" s="1"/>
      <c r="E1" s="1"/>
      <c r="F1" s="1"/>
      <c r="G1" s="1"/>
      <c r="H1" s="1"/>
      <c r="I1" s="1"/>
      <c r="J1" s="1"/>
      <c r="K1" s="1"/>
      <c r="L1" s="1"/>
    </row>
    <row r="2" ht="12.75">
      <c r="K2" t="s">
        <v>157</v>
      </c>
    </row>
    <row r="3" ht="12.75">
      <c r="A3" t="s">
        <v>133</v>
      </c>
    </row>
    <row r="4" ht="12.75">
      <c r="B4" t="s">
        <v>153</v>
      </c>
    </row>
    <row r="5" ht="12.75">
      <c r="B5" t="s">
        <v>139</v>
      </c>
    </row>
    <row r="6" ht="12.75">
      <c r="B6" t="s">
        <v>134</v>
      </c>
    </row>
    <row r="7" ht="12.75">
      <c r="B7" t="s">
        <v>135</v>
      </c>
    </row>
    <row r="8" ht="12.75">
      <c r="B8" t="s">
        <v>136</v>
      </c>
    </row>
    <row r="9" ht="12.75">
      <c r="B9" t="s">
        <v>137</v>
      </c>
    </row>
    <row r="10" ht="12.75">
      <c r="B10" t="s">
        <v>140</v>
      </c>
    </row>
    <row r="11" ht="12.75">
      <c r="B11" t="s">
        <v>141</v>
      </c>
    </row>
    <row r="14" ht="12.75">
      <c r="A14" t="s">
        <v>138</v>
      </c>
    </row>
    <row r="15" ht="12.75">
      <c r="A15" t="s">
        <v>152</v>
      </c>
    </row>
    <row r="16" ht="12.75">
      <c r="A16" t="s">
        <v>142</v>
      </c>
    </row>
    <row r="17" ht="12.75">
      <c r="A17" t="s">
        <v>143</v>
      </c>
    </row>
    <row r="18" spans="1:4" ht="12.75">
      <c r="A18" s="18" t="s">
        <v>145</v>
      </c>
      <c r="B18" s="18"/>
      <c r="C18" s="18"/>
      <c r="D18" s="18"/>
    </row>
    <row r="19" ht="12.75">
      <c r="A19" t="s">
        <v>144</v>
      </c>
    </row>
    <row r="20" ht="12.75">
      <c r="A20" t="s">
        <v>154</v>
      </c>
    </row>
    <row r="21" ht="12.75">
      <c r="A21" t="s">
        <v>146</v>
      </c>
    </row>
    <row r="24" ht="12.75">
      <c r="A24" s="34" t="s">
        <v>149</v>
      </c>
    </row>
    <row r="25" ht="12.75">
      <c r="A25" s="34" t="s">
        <v>150</v>
      </c>
    </row>
    <row r="26" ht="12.75">
      <c r="A26" s="34" t="s">
        <v>147</v>
      </c>
    </row>
    <row r="27" ht="12.75">
      <c r="A27" s="34" t="s">
        <v>148</v>
      </c>
    </row>
    <row r="28" ht="12.75">
      <c r="A28" s="34" t="s">
        <v>156</v>
      </c>
    </row>
    <row r="35" ht="12.75">
      <c r="D35" s="46"/>
    </row>
    <row r="40" ht="12.75">
      <c r="A40" t="s">
        <v>155</v>
      </c>
    </row>
    <row r="42" ht="12.75">
      <c r="A42" t="s">
        <v>158</v>
      </c>
    </row>
    <row r="43" spans="1:3" ht="12.75">
      <c r="A43" s="47">
        <v>38338</v>
      </c>
      <c r="C43" s="18" t="s">
        <v>159</v>
      </c>
    </row>
    <row r="44" spans="1:3" ht="12.75">
      <c r="A44" s="47">
        <v>39951</v>
      </c>
      <c r="C44" s="18" t="s">
        <v>160</v>
      </c>
    </row>
    <row r="45" spans="1:3" ht="12.75">
      <c r="A45" s="47">
        <v>39951</v>
      </c>
      <c r="C45" s="18" t="s">
        <v>163</v>
      </c>
    </row>
    <row r="46" spans="1:3" ht="12.75">
      <c r="A46" s="47">
        <v>39951</v>
      </c>
      <c r="C46" s="18" t="s">
        <v>162</v>
      </c>
    </row>
    <row r="47" spans="1:3" ht="12.75">
      <c r="A47" s="47">
        <v>39951</v>
      </c>
      <c r="C47" s="18" t="s">
        <v>164</v>
      </c>
    </row>
    <row r="48" spans="1:3" ht="12.75">
      <c r="A48" s="47">
        <v>39951</v>
      </c>
      <c r="C48" s="18" t="s">
        <v>165</v>
      </c>
    </row>
  </sheetData>
  <sheetProtection password="CD6E" sheet="1" objects="1" scenarios="1"/>
  <printOptions/>
  <pageMargins left="0.75" right="0.75" top="1" bottom="1" header="0.5" footer="0.5"/>
  <pageSetup horizontalDpi="300" verticalDpi="300" orientation="portrait" r:id="rId4"/>
  <drawing r:id="rId3"/>
  <legacyDrawing r:id="rId2"/>
  <oleObjects>
    <oleObject progId="AcroExch.Document" shapeId="132484" r:id="rId1"/>
  </oleObjects>
</worksheet>
</file>

<file path=xl/worksheets/sheet2.xml><?xml version="1.0" encoding="utf-8"?>
<worksheet xmlns="http://schemas.openxmlformats.org/spreadsheetml/2006/main" xmlns:r="http://schemas.openxmlformats.org/officeDocument/2006/relationships">
  <sheetPr codeName="Sheet1"/>
  <dimension ref="A1:G92"/>
  <sheetViews>
    <sheetView zoomScalePageLayoutView="0" workbookViewId="0" topLeftCell="A13">
      <selection activeCell="C88" sqref="C88"/>
    </sheetView>
  </sheetViews>
  <sheetFormatPr defaultColWidth="9.140625" defaultRowHeight="12.75"/>
  <cols>
    <col min="1" max="1" width="5.7109375" style="0" customWidth="1"/>
    <col min="2" max="2" width="70.7109375" style="0" customWidth="1"/>
    <col min="3" max="4" width="11.7109375" style="0" customWidth="1"/>
    <col min="5" max="5" width="7.28125" style="0" customWidth="1"/>
  </cols>
  <sheetData>
    <row r="1" spans="1:4" ht="18">
      <c r="A1" s="24" t="s">
        <v>0</v>
      </c>
      <c r="B1" s="1"/>
      <c r="C1" s="1"/>
      <c r="D1" s="1"/>
    </row>
    <row r="2" spans="1:4" ht="12.75">
      <c r="A2" s="1"/>
      <c r="B2" s="25" t="s">
        <v>1</v>
      </c>
      <c r="C2" s="48" t="s">
        <v>157</v>
      </c>
      <c r="D2" s="1"/>
    </row>
    <row r="3" spans="1:4" ht="12.75">
      <c r="A3" s="28"/>
      <c r="B3" s="29" t="s">
        <v>115</v>
      </c>
      <c r="C3" s="35" t="s">
        <v>107</v>
      </c>
      <c r="D3" s="35" t="s">
        <v>108</v>
      </c>
    </row>
    <row r="4" spans="1:4" ht="12.75">
      <c r="A4" s="4" t="s">
        <v>5</v>
      </c>
      <c r="C4" s="35"/>
      <c r="D4" s="35"/>
    </row>
    <row r="5" spans="2:4" ht="12.75">
      <c r="B5" s="6" t="s">
        <v>6</v>
      </c>
      <c r="C5" s="36" t="s">
        <v>110</v>
      </c>
      <c r="D5" s="36" t="s">
        <v>110</v>
      </c>
    </row>
    <row r="6" spans="2:4" ht="12.75">
      <c r="B6" s="6" t="s">
        <v>122</v>
      </c>
      <c r="C6" s="37">
        <v>28446000</v>
      </c>
      <c r="D6" s="37">
        <v>28446000</v>
      </c>
    </row>
    <row r="7" spans="2:4" ht="12.75">
      <c r="B7" s="7" t="s">
        <v>7</v>
      </c>
      <c r="C7" s="38">
        <v>0.3</v>
      </c>
      <c r="D7" s="38">
        <v>0.3</v>
      </c>
    </row>
    <row r="8" spans="2:4" ht="15.75">
      <c r="B8" s="8" t="s">
        <v>8</v>
      </c>
      <c r="C8" s="39">
        <v>37700</v>
      </c>
      <c r="D8" s="39">
        <v>37700</v>
      </c>
    </row>
    <row r="9" spans="2:4" ht="15.75">
      <c r="B9" s="8" t="s">
        <v>151</v>
      </c>
      <c r="C9" s="35">
        <v>0.2835</v>
      </c>
      <c r="D9" s="35">
        <v>0.2835</v>
      </c>
    </row>
    <row r="10" spans="1:4" ht="12.75">
      <c r="A10" s="4"/>
      <c r="B10" s="22" t="s">
        <v>2</v>
      </c>
      <c r="C10" s="35"/>
      <c r="D10" s="35"/>
    </row>
    <row r="11" spans="1:4" ht="15.75">
      <c r="A11" s="4"/>
      <c r="B11" s="2" t="s">
        <v>37</v>
      </c>
      <c r="C11" s="38">
        <v>30</v>
      </c>
      <c r="D11" s="38">
        <v>10.75</v>
      </c>
    </row>
    <row r="12" spans="2:4" ht="15.75">
      <c r="B12" s="9" t="s">
        <v>12</v>
      </c>
      <c r="C12" s="35">
        <v>10</v>
      </c>
      <c r="D12" s="35">
        <v>11.75</v>
      </c>
    </row>
    <row r="13" spans="2:4" ht="15.75">
      <c r="B13" s="9" t="s">
        <v>11</v>
      </c>
      <c r="C13" s="12">
        <f>C12-C18</f>
        <v>9.75</v>
      </c>
      <c r="D13" s="12">
        <f>D12-D18</f>
        <v>11.5</v>
      </c>
    </row>
    <row r="14" spans="1:4" ht="15.75">
      <c r="A14" t="s">
        <v>38</v>
      </c>
      <c r="B14" s="9" t="s">
        <v>13</v>
      </c>
      <c r="C14" s="12">
        <f>MAX(C13,C12)</f>
        <v>10</v>
      </c>
      <c r="D14" s="12">
        <f>MAX(D13,D12)</f>
        <v>11.75</v>
      </c>
    </row>
    <row r="15" spans="2:4" ht="15.75">
      <c r="B15" s="6" t="s">
        <v>39</v>
      </c>
      <c r="C15" s="40">
        <v>91</v>
      </c>
      <c r="D15" s="41">
        <v>26.376</v>
      </c>
    </row>
    <row r="16" spans="2:4" ht="12.75">
      <c r="B16" s="6" t="s">
        <v>10</v>
      </c>
      <c r="C16" s="3">
        <f>(C11+(C11-2*C26))/4</f>
        <v>14.875</v>
      </c>
      <c r="D16" s="3">
        <f>(D11+(D11-2*D26))/4</f>
        <v>5.25</v>
      </c>
    </row>
    <row r="17" spans="2:4" ht="12.75">
      <c r="B17" s="6" t="s">
        <v>58</v>
      </c>
      <c r="C17" s="3">
        <f>C16*2</f>
        <v>29.75</v>
      </c>
      <c r="D17" s="3">
        <f>D16*2</f>
        <v>10.5</v>
      </c>
    </row>
    <row r="18" spans="2:4" ht="15.75">
      <c r="B18" s="6" t="s">
        <v>22</v>
      </c>
      <c r="C18" s="38">
        <v>0.25</v>
      </c>
      <c r="D18" s="38">
        <v>0.25</v>
      </c>
    </row>
    <row r="19" spans="2:4" ht="15.75">
      <c r="B19" s="6" t="s">
        <v>23</v>
      </c>
      <c r="C19" s="38">
        <v>1.25</v>
      </c>
      <c r="D19" s="38">
        <v>0.75</v>
      </c>
    </row>
    <row r="20" spans="2:4" ht="15.75">
      <c r="B20" s="6" t="s">
        <v>24</v>
      </c>
      <c r="C20" s="41">
        <v>0.25</v>
      </c>
      <c r="D20" s="41">
        <v>0.25</v>
      </c>
    </row>
    <row r="21" spans="2:4" ht="15.75">
      <c r="B21" s="6" t="s">
        <v>25</v>
      </c>
      <c r="C21" s="41">
        <v>1.5</v>
      </c>
      <c r="D21" s="41">
        <v>0</v>
      </c>
    </row>
    <row r="22" spans="2:4" ht="15.75">
      <c r="B22" s="6" t="s">
        <v>40</v>
      </c>
      <c r="C22" s="17">
        <f>C11/2-C26-C19-C20</f>
        <v>13.25</v>
      </c>
      <c r="D22" s="17">
        <f>D11/2-D26-D19-D20</f>
        <v>4.125</v>
      </c>
    </row>
    <row r="23" spans="2:4" ht="15.75">
      <c r="B23" s="2" t="s">
        <v>41</v>
      </c>
      <c r="C23" s="17">
        <f>C11/2</f>
        <v>15</v>
      </c>
      <c r="D23" s="17">
        <f>D11/2</f>
        <v>5.375</v>
      </c>
    </row>
    <row r="24" spans="2:4" ht="12.75">
      <c r="B24" s="13" t="s">
        <v>116</v>
      </c>
      <c r="C24" s="17">
        <f>C19/2-Centroid_of_Section(0,C26,C18,C19,C20,C21)</f>
        <v>1.0340909090909092</v>
      </c>
      <c r="D24" s="17">
        <f>D19/2-Centroid_of_Section(0,D26,D18,D19,D20,D21)</f>
        <v>0.375</v>
      </c>
    </row>
    <row r="25" spans="2:4" ht="15.75">
      <c r="B25" s="6" t="s">
        <v>26</v>
      </c>
      <c r="C25" s="17">
        <f>C16-C24-C26/2</f>
        <v>13.71590909090909</v>
      </c>
      <c r="D25" s="17">
        <f>D16-D24-D26/2</f>
        <v>4.75</v>
      </c>
    </row>
    <row r="26" spans="2:4" ht="12.75">
      <c r="B26" s="2" t="s">
        <v>3</v>
      </c>
      <c r="C26" s="36">
        <v>0.25</v>
      </c>
      <c r="D26" s="36">
        <v>0.25</v>
      </c>
    </row>
    <row r="27" spans="2:4" ht="12.75">
      <c r="B27" s="2" t="s">
        <v>9</v>
      </c>
      <c r="C27" s="42">
        <v>2</v>
      </c>
      <c r="D27" s="43">
        <v>2</v>
      </c>
    </row>
    <row r="28" spans="2:4" ht="12.75">
      <c r="B28" s="22" t="s">
        <v>42</v>
      </c>
      <c r="C28" s="11"/>
      <c r="D28" s="11"/>
    </row>
    <row r="29" spans="2:4" ht="15.75">
      <c r="B29" s="6" t="s">
        <v>114</v>
      </c>
      <c r="C29" s="12">
        <f>Area_of_Section(0,C26,C18,C19,C20,C21)</f>
        <v>0.6875</v>
      </c>
      <c r="D29" s="12">
        <f>Area_of_Section(0,D26,D18,D19,D20,D21)</f>
        <v>0.1875</v>
      </c>
    </row>
    <row r="30" spans="2:4" ht="15.75">
      <c r="B30" s="6" t="s">
        <v>57</v>
      </c>
      <c r="C30" s="12">
        <f>Area_of_Section(C33,C26,C18,C19,C20,C21)</f>
        <v>1.4106522790878833</v>
      </c>
      <c r="D30" s="12">
        <f>Area_of_Section(D33,D26,D18,D19,D20,D21)</f>
        <v>0.61711647140211</v>
      </c>
    </row>
    <row r="31" spans="2:4" ht="15.75">
      <c r="B31" s="6" t="s">
        <v>44</v>
      </c>
      <c r="C31" s="12">
        <f>1.5*(C16*C26)^0.5</f>
        <v>2.8926091163515335</v>
      </c>
      <c r="D31" s="12">
        <f>1.5*(D16*D26)^0.5</f>
        <v>1.71846588560844</v>
      </c>
    </row>
    <row r="32" spans="2:4" ht="15.75">
      <c r="B32" s="6" t="s">
        <v>43</v>
      </c>
      <c r="C32" s="12">
        <f>0.75*C12</f>
        <v>7.5</v>
      </c>
      <c r="D32" s="12">
        <f>0.75*D12</f>
        <v>8.8125</v>
      </c>
    </row>
    <row r="33" spans="2:4" ht="15.75">
      <c r="B33" s="6" t="s">
        <v>35</v>
      </c>
      <c r="C33" s="12">
        <f>MIN(C31,C32)</f>
        <v>2.8926091163515335</v>
      </c>
      <c r="D33" s="12">
        <f>MIN(D31,D32)</f>
        <v>1.71846588560844</v>
      </c>
    </row>
    <row r="34" spans="2:4" ht="14.25">
      <c r="B34" s="14" t="s">
        <v>36</v>
      </c>
      <c r="C34" s="12">
        <f>Moment_of_Inertia(C33,C26,C18,C19,C20,C21)</f>
        <v>0.615787606473398</v>
      </c>
      <c r="D34" s="12">
        <f>Moment_of_Inertia(D33,D26,D18,D19,D20,D21)</f>
        <v>0.043659502911957956</v>
      </c>
    </row>
    <row r="35" spans="2:5" ht="15.75">
      <c r="B35" s="14" t="s">
        <v>45</v>
      </c>
      <c r="C35" s="12">
        <f>Iz(C18,C19,C20,C21)</f>
        <v>0.2828776041666667</v>
      </c>
      <c r="D35" s="12">
        <f>Iz(D18,D19,D20,D21)</f>
        <v>0.0009765625</v>
      </c>
      <c r="E35" s="18" t="s">
        <v>38</v>
      </c>
    </row>
    <row r="36" spans="2:7" ht="12.75">
      <c r="B36" s="22" t="s">
        <v>4</v>
      </c>
      <c r="G36" s="18" t="s">
        <v>38</v>
      </c>
    </row>
    <row r="37" spans="2:4" ht="12.75">
      <c r="B37" s="6" t="s">
        <v>14</v>
      </c>
      <c r="C37" s="12">
        <f>C14/(C16*C26)^0.5</f>
        <v>5.185629788417315</v>
      </c>
      <c r="D37" s="12">
        <f>D14/(D16*D26)^0.5</f>
        <v>10.256240841091643</v>
      </c>
    </row>
    <row r="38" spans="2:4" ht="12.75">
      <c r="B38" s="8" t="s">
        <v>15</v>
      </c>
      <c r="C38" s="12">
        <f>(3*(1-C7^2))^0.25*C37</f>
        <v>6.665644846659912</v>
      </c>
      <c r="D38" s="12">
        <f>(3*(1-D7^2))^0.25*D37</f>
        <v>13.183443804882698</v>
      </c>
    </row>
    <row r="39" spans="2:4" ht="12.75">
      <c r="B39" s="6" t="s">
        <v>16</v>
      </c>
      <c r="C39" s="12">
        <f>C38/2</f>
        <v>3.332822423329956</v>
      </c>
      <c r="D39" s="12">
        <f>D38/2</f>
        <v>6.591721902441349</v>
      </c>
    </row>
    <row r="40" spans="2:4" ht="12.75">
      <c r="B40" s="6" t="s">
        <v>17</v>
      </c>
      <c r="C40" s="12">
        <f>(COSH(2*C39)-COS(2*C39))/(SINH(2*C39)+SIN(2*C39))</f>
        <v>0.9966917275072897</v>
      </c>
      <c r="D40" s="12">
        <f>(COSH(2*D39)-COS(2*D39))/(SINH(2*D39)+SIN(2*D39))</f>
        <v>0.9999947535590055</v>
      </c>
    </row>
    <row r="41" spans="2:4" ht="12.75">
      <c r="B41" s="6" t="s">
        <v>18</v>
      </c>
      <c r="C41" s="12">
        <f>2*(SINH(C39)*COS(C39)+COSH(C39)*SIN(C39))/(SINH(2*C39)+SIN(2*C39))</f>
        <v>-0.08349972374788456</v>
      </c>
      <c r="D41" s="12">
        <f>2*(SINH(D39)*COS(D39)+COSH(D39)*SIN(D39))/(SINH(2*D39)+SIN(2*D39))</f>
        <v>0.003446856395466449</v>
      </c>
    </row>
    <row r="42" spans="2:4" ht="12.75">
      <c r="B42" s="6" t="s">
        <v>19</v>
      </c>
      <c r="C42" s="12">
        <f>(SINH(2*C39)-SIN(2*C39))/(SINH(2*C39)+SIN(2*C39))</f>
        <v>0.998100056060145</v>
      </c>
      <c r="D42" s="12">
        <f>(SINH(2*D39)-SIN(2*D39))/(SINH(2*D39)+SIN(2*D39))</f>
        <v>0.9999956450962326</v>
      </c>
    </row>
    <row r="43" ht="12.75">
      <c r="B43" s="22" t="s">
        <v>27</v>
      </c>
    </row>
    <row r="44" ht="12.75">
      <c r="B44" s="23" t="s">
        <v>20</v>
      </c>
    </row>
    <row r="45" spans="2:4" ht="12.75">
      <c r="B45" s="6" t="s">
        <v>29</v>
      </c>
      <c r="C45" s="12">
        <f>C29*(C16/C25)^2</f>
        <v>0.8086069232295181</v>
      </c>
      <c r="D45" s="12">
        <f>D29*(D16/D25)^2</f>
        <v>0.22905124653739617</v>
      </c>
    </row>
    <row r="46" spans="2:4" ht="12.75">
      <c r="B46" s="6" t="s">
        <v>28</v>
      </c>
      <c r="C46" s="12">
        <f>(C45*(1-C7/2)*C41)/(C45+C18*C26+2*C40*C26*C14/C38)</f>
        <v>-0.035453918159854686</v>
      </c>
      <c r="D46" s="12">
        <f>(D45*(1-D7/2)*D41)/(D45+D18*D26+2*D40*D26*D14/D38)</f>
        <v>0.0009103305266995919</v>
      </c>
    </row>
    <row r="47" spans="2:4" ht="15.75">
      <c r="B47" s="6" t="s">
        <v>92</v>
      </c>
      <c r="C47" s="3">
        <f>(C8*C26/C16)/(1-C46)</f>
        <v>611.9185356931869</v>
      </c>
      <c r="D47" s="3">
        <f>(D8*D26/D16)/(1-D46)</f>
        <v>1796.8738443512364</v>
      </c>
    </row>
    <row r="48" spans="2:7" ht="15.75">
      <c r="B48" s="6" t="s">
        <v>93</v>
      </c>
      <c r="C48" s="3">
        <f>2.42*C6*(C26/C17)^2.5/(1-C7^2)^0.75/(C14/C17-0.45*(C26/C17)^0.5)</f>
        <v>1621.9533394451082</v>
      </c>
      <c r="D48" s="3">
        <f>2.42*D6*(D26/D17)^2.5/(1-D7^2)^0.75/(D14/D17-0.45*(D26/D17)^0.5)</f>
        <v>6157.492361958973</v>
      </c>
      <c r="F48" t="s">
        <v>38</v>
      </c>
      <c r="G48" t="s">
        <v>38</v>
      </c>
    </row>
    <row r="49" spans="2:4" ht="15.75">
      <c r="B49" s="6" t="s">
        <v>94</v>
      </c>
      <c r="C49" s="3">
        <f>Pc_Inter_Stiffener_Strength(C48,C47)</f>
        <v>496.4884905684004</v>
      </c>
      <c r="D49" s="3">
        <f>Pc_Inter_Stiffener_Strength(D48,D47)</f>
        <v>1497.3948702926969</v>
      </c>
    </row>
    <row r="50" spans="2:4" ht="12.75">
      <c r="B50" s="8" t="s">
        <v>103</v>
      </c>
      <c r="C50" s="44">
        <v>0.8</v>
      </c>
      <c r="D50" s="44">
        <v>0.8</v>
      </c>
    </row>
    <row r="51" spans="2:4" ht="15.75">
      <c r="B51" s="6" t="s">
        <v>95</v>
      </c>
      <c r="C51" s="16">
        <f>C50*C49</f>
        <v>397.19079245472034</v>
      </c>
      <c r="D51" s="16">
        <f>D50*D49</f>
        <v>1197.9158962341576</v>
      </c>
    </row>
    <row r="52" ht="25.5">
      <c r="B52" s="23" t="s">
        <v>31</v>
      </c>
    </row>
    <row r="53" spans="2:4" ht="12.75">
      <c r="B53" s="8" t="s">
        <v>30</v>
      </c>
      <c r="C53" s="12">
        <f>C45*(1-C7/2)/(C45+C18*C26+(2*C40*C26*C14/C38))</f>
        <v>0.42459922702142955</v>
      </c>
      <c r="D53" s="12">
        <f>D45*(1-D7/2)/(D45+D18*D26+(2*D40*D26*D14/D38))</f>
        <v>0.26410457015178335</v>
      </c>
    </row>
    <row r="54" spans="2:4" ht="15.75">
      <c r="B54" s="6" t="s">
        <v>96</v>
      </c>
      <c r="C54" s="3">
        <f>2*C8*C26/C16*(1+(12/(1-C7^2))^0.5*C53*C42)^-1</f>
        <v>499.1154599078798</v>
      </c>
      <c r="D54" s="3">
        <f>2*D8*D26/D16*(1+(12/(1-D7^2))^0.5*D53*D42)^-1</f>
        <v>1832.758354004678</v>
      </c>
    </row>
    <row r="55" spans="2:4" ht="12.75">
      <c r="B55" s="8" t="s">
        <v>103</v>
      </c>
      <c r="C55" s="44">
        <v>0.67</v>
      </c>
      <c r="D55" s="44">
        <v>0.67</v>
      </c>
    </row>
    <row r="56" spans="2:4" ht="28.5">
      <c r="B56" s="6" t="s">
        <v>97</v>
      </c>
      <c r="C56" s="16">
        <f>C54*C55</f>
        <v>334.4073581382795</v>
      </c>
      <c r="D56" s="16">
        <f>D54*D55</f>
        <v>1227.9480971831345</v>
      </c>
    </row>
    <row r="57" spans="2:4" ht="12.75">
      <c r="B57" s="22" t="s">
        <v>59</v>
      </c>
      <c r="C57" s="11"/>
      <c r="D57" s="11"/>
    </row>
    <row r="58" spans="2:4" ht="15.75">
      <c r="B58" s="6" t="s">
        <v>32</v>
      </c>
      <c r="C58" s="12">
        <f>C27^2-1</f>
        <v>3</v>
      </c>
      <c r="D58" s="12">
        <f>D27^2-1</f>
        <v>3</v>
      </c>
    </row>
    <row r="59" spans="2:4" ht="12.75">
      <c r="B59" s="8" t="s">
        <v>33</v>
      </c>
      <c r="C59" s="12">
        <f>PI()*C16/C15</f>
        <v>0.5135295683752547</v>
      </c>
      <c r="D59" s="12">
        <f>PI()*D16/D15</f>
        <v>0.6253170090744015</v>
      </c>
    </row>
    <row r="60" spans="2:4" ht="15.75">
      <c r="B60" s="6" t="s">
        <v>34</v>
      </c>
      <c r="C60" s="15">
        <f>C59^4/(C58+C59^2/2)/(C27^2+C59^2)^2</f>
        <v>0.0012214737590766605</v>
      </c>
      <c r="D60" s="15">
        <f>D59^4/(D58+D59^2/2)/(D27^2+D59^2)^2</f>
        <v>0.0024815875094492644</v>
      </c>
    </row>
    <row r="61" spans="2:4" ht="15.75">
      <c r="B61" s="6" t="s">
        <v>98</v>
      </c>
      <c r="C61" s="30">
        <f>(C6*C26/C16)*C60+C6*C34*C58/(C14*C16^3)</f>
        <v>2180.5904692053327</v>
      </c>
      <c r="D61" s="30">
        <f>(D6*D26/D16)*D60+D6*D34*D58/(D14*D16^3)</f>
        <v>5552.805861569186</v>
      </c>
    </row>
    <row r="62" spans="2:4" ht="12.75">
      <c r="B62" s="8" t="s">
        <v>103</v>
      </c>
      <c r="C62" s="44">
        <v>0.5</v>
      </c>
      <c r="D62" s="44">
        <v>0.5</v>
      </c>
    </row>
    <row r="63" spans="2:4" ht="15.75">
      <c r="B63" s="6" t="s">
        <v>99</v>
      </c>
      <c r="C63" s="16">
        <f>C61*C62</f>
        <v>1090.2952346026664</v>
      </c>
      <c r="D63" s="16">
        <f>D61*D62</f>
        <v>2776.402930784593</v>
      </c>
    </row>
    <row r="64" spans="2:4" ht="12.75">
      <c r="B64" s="22" t="s">
        <v>46</v>
      </c>
      <c r="C64" s="11"/>
      <c r="D64" s="11"/>
    </row>
    <row r="65" spans="2:4" ht="12.75">
      <c r="B65" s="5" t="s">
        <v>47</v>
      </c>
      <c r="C65" s="11"/>
      <c r="D65" s="11"/>
    </row>
    <row r="66" spans="2:4" ht="25.5">
      <c r="B66" s="6" t="s">
        <v>125</v>
      </c>
      <c r="C66" s="12">
        <f>Centroid_of_Section(C33,C26,C18,C19,C20,C21)+C19/2+C20</f>
        <v>1.0601017527046048</v>
      </c>
      <c r="D66" s="12">
        <f>Centroid_of_Section(D33,D26,D18,D19,D20,D21)+D19/2+D20</f>
        <v>0.9730837826496564</v>
      </c>
    </row>
    <row r="67" spans="2:4" ht="12.75">
      <c r="B67" s="6" t="s">
        <v>55</v>
      </c>
      <c r="C67" s="44">
        <v>0.5</v>
      </c>
      <c r="D67" s="44">
        <v>0.5</v>
      </c>
    </row>
    <row r="68" spans="2:4" ht="12.75">
      <c r="B68" s="8" t="s">
        <v>56</v>
      </c>
      <c r="C68" s="12">
        <f>C67*C16/100</f>
        <v>0.074375</v>
      </c>
      <c r="D68" s="12">
        <f>D67*D16/100</f>
        <v>0.02625</v>
      </c>
    </row>
    <row r="69" spans="2:4" ht="15.75">
      <c r="B69" s="6" t="s">
        <v>100</v>
      </c>
      <c r="C69" s="3">
        <f>Pt(C8,C26,C22,C16,C7,C53,C6,C66,C68,C27,C61)</f>
        <v>757.5638397654268</v>
      </c>
      <c r="D69" s="3">
        <f>Pt(D8,D26,D22,D16,D7,D53,D6,D66,D68,D27,D61)</f>
        <v>1124.5251218680764</v>
      </c>
    </row>
    <row r="70" spans="2:4" ht="12.75">
      <c r="B70" s="8" t="s">
        <v>103</v>
      </c>
      <c r="C70" s="44">
        <v>0.5</v>
      </c>
      <c r="D70" s="44">
        <v>0.5</v>
      </c>
    </row>
    <row r="71" spans="2:4" ht="15.75">
      <c r="B71" s="6" t="s">
        <v>101</v>
      </c>
      <c r="C71" s="16">
        <f>C69*C70</f>
        <v>378.7819198827134</v>
      </c>
      <c r="D71" s="16">
        <f>D69*D70</f>
        <v>562.2625609340382</v>
      </c>
    </row>
    <row r="72" ht="12.75">
      <c r="B72" s="5" t="s">
        <v>102</v>
      </c>
    </row>
    <row r="73" spans="2:4" ht="15.75">
      <c r="B73" s="8" t="s">
        <v>48</v>
      </c>
      <c r="C73" s="19">
        <f>C6*C35/(C29*C16*C24)</f>
        <v>760906.6395789086</v>
      </c>
      <c r="D73" s="19">
        <f>D6*D35/(D29*D16*D24)</f>
        <v>75253.96825396825</v>
      </c>
    </row>
    <row r="74" spans="2:4" ht="15.75">
      <c r="B74" s="8" t="s">
        <v>111</v>
      </c>
      <c r="C74" s="20" t="str">
        <f>IF((SIGN(C73-C8)/2+0.5),"OK","Tripping")</f>
        <v>OK</v>
      </c>
      <c r="D74" s="20" t="str">
        <f>IF((SIGN(D73-D8)/2+0.5),"OK","Tripping")</f>
        <v>OK</v>
      </c>
    </row>
    <row r="75" spans="2:4" ht="12.75">
      <c r="B75" s="5" t="s">
        <v>49</v>
      </c>
      <c r="C75" s="18"/>
      <c r="D75" s="18"/>
    </row>
    <row r="76" spans="2:4" ht="12.75">
      <c r="B76" s="6" t="s">
        <v>50</v>
      </c>
      <c r="C76" s="21">
        <f>C19/C18</f>
        <v>5</v>
      </c>
      <c r="D76" s="21">
        <f>D19/D18</f>
        <v>3</v>
      </c>
    </row>
    <row r="77" spans="2:4" ht="15.75">
      <c r="B77" s="6" t="s">
        <v>51</v>
      </c>
      <c r="C77" s="21">
        <f>0.9*(C6/C8)^0.5</f>
        <v>24.721933688630422</v>
      </c>
      <c r="D77" s="21">
        <f>0.9*(D6/D8)^0.5</f>
        <v>24.721933688630422</v>
      </c>
    </row>
    <row r="78" spans="2:4" ht="15.75">
      <c r="B78" s="6" t="s">
        <v>52</v>
      </c>
      <c r="C78" s="20" t="str">
        <f>IF((SIGN(C77-C76)/2+0.5),"OK","Buckling")</f>
        <v>OK</v>
      </c>
      <c r="D78" s="20" t="str">
        <f>IF((SIGN(D77-D76)/2+0.5),"OK","Buckling")</f>
        <v>OK</v>
      </c>
    </row>
    <row r="79" spans="2:4" ht="12.75">
      <c r="B79" s="6" t="s">
        <v>117</v>
      </c>
      <c r="C79" s="20">
        <f>C21/C20</f>
        <v>6</v>
      </c>
      <c r="D79" s="20">
        <f>D21/D20</f>
        <v>0</v>
      </c>
    </row>
    <row r="80" spans="2:4" ht="15.75">
      <c r="B80" s="6" t="s">
        <v>118</v>
      </c>
      <c r="C80" s="21">
        <f>0.3*(C6/C8)^0.5</f>
        <v>8.240644562876808</v>
      </c>
      <c r="D80" s="21">
        <f>0.3*(D6/D8)^0.5</f>
        <v>8.240644562876808</v>
      </c>
    </row>
    <row r="81" spans="2:4" ht="15.75">
      <c r="B81" s="6" t="s">
        <v>119</v>
      </c>
      <c r="C81" s="20" t="str">
        <f>IF((SIGN(C80-C79)/2+0.5),"OK","Buckling")</f>
        <v>OK</v>
      </c>
      <c r="D81" s="20" t="str">
        <f>IF((SIGN(D80-D79)/2+0.5),"OK","Buckling")</f>
        <v>OK</v>
      </c>
    </row>
    <row r="82" spans="2:4" ht="12.75">
      <c r="B82" s="5" t="s">
        <v>53</v>
      </c>
      <c r="C82" s="18"/>
      <c r="D82" s="18"/>
    </row>
    <row r="83" spans="2:4" ht="15.75">
      <c r="B83" s="6" t="s">
        <v>130</v>
      </c>
      <c r="C83" s="45">
        <v>300</v>
      </c>
      <c r="D83" s="45">
        <v>300</v>
      </c>
    </row>
    <row r="84" spans="2:4" ht="15.75">
      <c r="B84" s="8" t="s">
        <v>121</v>
      </c>
      <c r="C84" s="45">
        <v>62.4</v>
      </c>
      <c r="D84" s="45">
        <v>62.4</v>
      </c>
    </row>
    <row r="85" spans="2:4" ht="12.75">
      <c r="B85" s="6" t="s">
        <v>120</v>
      </c>
      <c r="C85" s="21">
        <f>C84*C83/144</f>
        <v>130</v>
      </c>
      <c r="D85" s="21">
        <f>D84*D83/144</f>
        <v>130</v>
      </c>
    </row>
    <row r="86" spans="2:4" ht="12.75">
      <c r="B86" s="8" t="s">
        <v>123</v>
      </c>
      <c r="C86" s="45">
        <v>0.5</v>
      </c>
      <c r="D86" s="45">
        <v>0.5</v>
      </c>
    </row>
    <row r="87" spans="2:4" ht="15.75">
      <c r="B87" s="6" t="s">
        <v>129</v>
      </c>
      <c r="C87" s="12">
        <f>C85*C11*C12*C25^2/(6*C6*C86)</f>
        <v>0.0859748333147393</v>
      </c>
      <c r="D87" s="12">
        <f>D85*D11*D12*D25^2/(6*D6*D86)</f>
        <v>0.004341446384523893</v>
      </c>
    </row>
    <row r="88" spans="2:4" ht="14.25">
      <c r="B88" s="14" t="s">
        <v>36</v>
      </c>
      <c r="C88" s="12">
        <f>C34</f>
        <v>0.615787606473398</v>
      </c>
      <c r="D88" s="12">
        <f>D34</f>
        <v>0.043659502911957956</v>
      </c>
    </row>
    <row r="89" spans="2:4" ht="15.75">
      <c r="B89" s="6" t="s">
        <v>128</v>
      </c>
      <c r="C89" s="20" t="str">
        <f>IF((SIGN(C88-C87)/2+0.5),"Yes","No")</f>
        <v>Yes</v>
      </c>
      <c r="D89" s="20" t="str">
        <f>IF((SIGN(D88-D87)/2+0.5),"Yes","No")</f>
        <v>Yes</v>
      </c>
    </row>
    <row r="90" spans="2:4" ht="15.75">
      <c r="B90" s="6" t="s">
        <v>126</v>
      </c>
      <c r="C90" s="16">
        <f>C34*6*C6*C86/(C11*C12*C25^2)</f>
        <v>931.1142081367406</v>
      </c>
      <c r="D90" s="16">
        <f>D34*6*D6*D86/(D11*D12*D25^2)</f>
        <v>1307.3374345441712</v>
      </c>
    </row>
    <row r="91" spans="2:4" ht="12.75">
      <c r="B91" s="31" t="s">
        <v>131</v>
      </c>
      <c r="C91" s="16">
        <f>MIN(C51,C56,C63,C71,C90)</f>
        <v>334.4073581382795</v>
      </c>
      <c r="D91" s="16">
        <f>MIN(D51,D56,D63,D71,D90)</f>
        <v>562.2625609340382</v>
      </c>
    </row>
    <row r="92" spans="2:4" ht="12.75">
      <c r="B92" s="31" t="s">
        <v>124</v>
      </c>
      <c r="C92" s="32">
        <f>C91/(C84/144)</f>
        <v>771.7092880114142</v>
      </c>
      <c r="D92" s="32">
        <f>D91/(D84/144)</f>
        <v>1297.5289867708573</v>
      </c>
    </row>
  </sheetData>
  <sheetProtection password="CD6E" sheet="1" objects="1" scenarios="1"/>
  <printOptions/>
  <pageMargins left="0.77" right="0.14" top="0.7" bottom="0.66" header="0.5" footer="0.5"/>
  <pageSetup orientation="portrait" scale="90" r:id="rId1"/>
</worksheet>
</file>

<file path=xl/worksheets/sheet3.xml><?xml version="1.0" encoding="utf-8"?>
<worksheet xmlns="http://schemas.openxmlformats.org/spreadsheetml/2006/main" xmlns:r="http://schemas.openxmlformats.org/officeDocument/2006/relationships">
  <sheetPr codeName="Sheet3"/>
  <dimension ref="A1:D54"/>
  <sheetViews>
    <sheetView zoomScalePageLayoutView="0" workbookViewId="0" topLeftCell="A28">
      <selection activeCell="D53" sqref="D53"/>
    </sheetView>
  </sheetViews>
  <sheetFormatPr defaultColWidth="9.140625" defaultRowHeight="12.75"/>
  <cols>
    <col min="1" max="1" width="6.140625" style="0" customWidth="1"/>
    <col min="2" max="2" width="53.28125" style="0" customWidth="1"/>
    <col min="3" max="3" width="11.8515625" style="0" customWidth="1"/>
    <col min="4" max="4" width="13.57421875" style="0" customWidth="1"/>
  </cols>
  <sheetData>
    <row r="1" spans="1:4" ht="18">
      <c r="A1" s="50" t="s">
        <v>0</v>
      </c>
      <c r="B1" s="51"/>
      <c r="C1" s="51"/>
      <c r="D1" s="51"/>
    </row>
    <row r="2" spans="1:4" ht="12.75">
      <c r="A2" s="52" t="s">
        <v>60</v>
      </c>
      <c r="B2" s="51"/>
      <c r="C2" s="51"/>
      <c r="D2" s="51"/>
    </row>
    <row r="3" spans="1:4" ht="12.75">
      <c r="A3" s="28"/>
      <c r="B3" s="29" t="s">
        <v>115</v>
      </c>
      <c r="C3" s="35" t="s">
        <v>112</v>
      </c>
      <c r="D3" s="35" t="s">
        <v>113</v>
      </c>
    </row>
    <row r="4" spans="1:4" ht="12.75">
      <c r="A4" s="4" t="s">
        <v>5</v>
      </c>
      <c r="C4" s="35"/>
      <c r="D4" s="35"/>
    </row>
    <row r="5" spans="2:4" ht="12.75">
      <c r="B5" s="6" t="s">
        <v>6</v>
      </c>
      <c r="C5" s="36" t="s">
        <v>110</v>
      </c>
      <c r="D5" s="36" t="s">
        <v>110</v>
      </c>
    </row>
    <row r="6" spans="2:4" ht="12.75">
      <c r="B6" s="6" t="s">
        <v>21</v>
      </c>
      <c r="C6" s="37">
        <v>28446000</v>
      </c>
      <c r="D6" s="37">
        <v>28446000</v>
      </c>
    </row>
    <row r="7" spans="2:4" ht="12.75">
      <c r="B7" s="7" t="s">
        <v>7</v>
      </c>
      <c r="C7" s="38">
        <v>0.3</v>
      </c>
      <c r="D7" s="38">
        <v>0.3</v>
      </c>
    </row>
    <row r="8" spans="2:4" ht="15.75">
      <c r="B8" s="8" t="s">
        <v>8</v>
      </c>
      <c r="C8" s="39">
        <v>37700</v>
      </c>
      <c r="D8" s="39">
        <v>37700</v>
      </c>
    </row>
    <row r="9" spans="2:4" ht="14.25">
      <c r="B9" s="8" t="s">
        <v>54</v>
      </c>
      <c r="C9" s="35">
        <v>0.2835</v>
      </c>
      <c r="D9" s="35">
        <v>0.2835</v>
      </c>
    </row>
    <row r="10" spans="1:4" ht="12.75">
      <c r="A10" s="4"/>
      <c r="B10" s="22" t="s">
        <v>71</v>
      </c>
      <c r="C10" s="35"/>
      <c r="D10" s="35"/>
    </row>
    <row r="11" spans="2:4" ht="12.75">
      <c r="B11" s="6" t="s">
        <v>67</v>
      </c>
      <c r="C11" s="38">
        <v>29.75</v>
      </c>
      <c r="D11" s="38">
        <v>10.5</v>
      </c>
    </row>
    <row r="12" spans="2:4" ht="15.75">
      <c r="B12" s="49" t="s">
        <v>161</v>
      </c>
      <c r="C12" s="17">
        <f>C11-C15</f>
        <v>29.5</v>
      </c>
      <c r="D12" s="17">
        <f>D11-D15</f>
        <v>10.25</v>
      </c>
    </row>
    <row r="13" spans="1:4" ht="15.75">
      <c r="A13" s="4"/>
      <c r="B13" s="2" t="s">
        <v>68</v>
      </c>
      <c r="C13" s="17">
        <f>C11+C15</f>
        <v>30</v>
      </c>
      <c r="D13" s="17">
        <f>D11+D15</f>
        <v>10.75</v>
      </c>
    </row>
    <row r="14" spans="2:4" ht="15.75">
      <c r="B14" s="2" t="s">
        <v>69</v>
      </c>
      <c r="C14" s="17">
        <f>C13/2</f>
        <v>15</v>
      </c>
      <c r="D14" s="17">
        <f>D13/2</f>
        <v>5.375</v>
      </c>
    </row>
    <row r="15" spans="2:4" ht="12.75">
      <c r="B15" s="2" t="s">
        <v>70</v>
      </c>
      <c r="C15" s="36">
        <v>0.25</v>
      </c>
      <c r="D15" s="36">
        <v>0.25</v>
      </c>
    </row>
    <row r="16" ht="12.75">
      <c r="B16" s="23" t="s">
        <v>79</v>
      </c>
    </row>
    <row r="17" spans="2:4" ht="15.75">
      <c r="B17" s="2" t="s">
        <v>61</v>
      </c>
      <c r="C17" s="26">
        <f>2/(3*(1-C7^2))^0.5*C6*(C15/C14)^2</f>
        <v>9564.612441275975</v>
      </c>
      <c r="D17" s="26">
        <f>2/(3*(1-D7^2))^0.5*D6*(D15/D14)^2</f>
        <v>74489.13961837426</v>
      </c>
    </row>
    <row r="18" spans="2:4" ht="15.75">
      <c r="B18" s="2" t="s">
        <v>62</v>
      </c>
      <c r="C18" s="26">
        <f>2*C8*C15/C14</f>
        <v>1256.6666666666667</v>
      </c>
      <c r="D18" s="26">
        <f>2*D8*D15/D14</f>
        <v>3506.9767441860463</v>
      </c>
    </row>
    <row r="19" spans="2:4" ht="15.75">
      <c r="B19" s="2" t="s">
        <v>63</v>
      </c>
      <c r="C19" s="17">
        <f>C17/C18</f>
        <v>7.611097433376107</v>
      </c>
      <c r="D19" s="17">
        <f>D17/D18</f>
        <v>21.240271907096112</v>
      </c>
    </row>
    <row r="20" spans="2:4" ht="15.75">
      <c r="B20" s="2" t="s">
        <v>64</v>
      </c>
      <c r="C20" s="17">
        <f>Pcs_Pys(C18,C17)</f>
        <v>0.6770182238064972</v>
      </c>
      <c r="D20" s="17">
        <f>Pcs_Pys(D18,D17)</f>
        <v>0.7301632891444472</v>
      </c>
    </row>
    <row r="21" spans="2:4" ht="12.75">
      <c r="B21" s="8" t="s">
        <v>65</v>
      </c>
      <c r="C21" s="36">
        <v>0.67</v>
      </c>
      <c r="D21" s="36">
        <v>0.67</v>
      </c>
    </row>
    <row r="22" spans="2:4" ht="15.75">
      <c r="B22" s="6" t="s">
        <v>66</v>
      </c>
      <c r="C22" s="16">
        <f>C21*C20*C18</f>
        <v>570.0267771709439</v>
      </c>
      <c r="D22" s="16">
        <f>D21*D20*D18</f>
        <v>1715.6460019069386</v>
      </c>
    </row>
    <row r="23" ht="12.75">
      <c r="B23" s="23" t="s">
        <v>81</v>
      </c>
    </row>
    <row r="24" spans="2:4" ht="12.75">
      <c r="B24" s="6" t="s">
        <v>82</v>
      </c>
      <c r="C24" s="17">
        <f>0.16*C11</f>
        <v>4.76</v>
      </c>
      <c r="D24" s="17">
        <f>0.16*D11</f>
        <v>1.68</v>
      </c>
    </row>
    <row r="25" spans="2:4" ht="12.75">
      <c r="B25" s="6" t="s">
        <v>83</v>
      </c>
      <c r="C25" s="17">
        <f>0.0002*C11</f>
        <v>0.00595</v>
      </c>
      <c r="D25" s="17">
        <f>0.0002*D11</f>
        <v>0.0021000000000000003</v>
      </c>
    </row>
    <row r="26" spans="2:4" ht="12.75">
      <c r="B26" s="6" t="s">
        <v>85</v>
      </c>
      <c r="C26" s="27" t="str">
        <f>IF((SIGN(C24-C15)/2+0.5),"Pass","To Thick")</f>
        <v>Pass</v>
      </c>
      <c r="D26" s="27" t="str">
        <f>IF((SIGN(D24-D15)/2+0.5),"Pass","To Thick")</f>
        <v>Pass</v>
      </c>
    </row>
    <row r="27" spans="2:4" ht="12.75">
      <c r="B27" s="6" t="s">
        <v>84</v>
      </c>
      <c r="C27" s="27" t="str">
        <f>IF((SIGN(C15-C25)/2+0.5),"Pass","To Thin")</f>
        <v>Pass</v>
      </c>
      <c r="D27" s="27" t="str">
        <f>IF((SIGN(D15-D25)/2+0.5),"Pass","To Thin")</f>
        <v>Pass</v>
      </c>
    </row>
    <row r="28" spans="1:2" ht="12.75">
      <c r="A28" s="4"/>
      <c r="B28" s="22" t="s">
        <v>72</v>
      </c>
    </row>
    <row r="29" spans="2:4" ht="15.75">
      <c r="B29" s="2" t="s">
        <v>74</v>
      </c>
      <c r="C29" s="44">
        <v>29.5</v>
      </c>
      <c r="D29" s="44">
        <v>10.5</v>
      </c>
    </row>
    <row r="30" spans="2:4" ht="15.75">
      <c r="B30" s="2" t="s">
        <v>75</v>
      </c>
      <c r="C30" s="44">
        <v>30</v>
      </c>
      <c r="D30" s="44">
        <v>10.75</v>
      </c>
    </row>
    <row r="31" spans="2:4" ht="12.75">
      <c r="B31" s="2" t="s">
        <v>86</v>
      </c>
      <c r="C31" s="10">
        <f>(C29+C30)/2</f>
        <v>29.75</v>
      </c>
      <c r="D31" s="10">
        <f>(D29+D30)/2</f>
        <v>10.625</v>
      </c>
    </row>
    <row r="32" spans="2:4" ht="12.75">
      <c r="B32" s="2" t="s">
        <v>76</v>
      </c>
      <c r="C32" s="44">
        <v>7.375</v>
      </c>
      <c r="D32" s="44">
        <f>5-0.25</f>
        <v>4.75</v>
      </c>
    </row>
    <row r="33" spans="2:4" ht="15.75">
      <c r="B33" s="2" t="s">
        <v>73</v>
      </c>
      <c r="C33" s="10">
        <f>C30*C29/(4*C32)</f>
        <v>30</v>
      </c>
      <c r="D33" s="10">
        <f>D30*D29/(4*D32)</f>
        <v>5.940789473684211</v>
      </c>
    </row>
    <row r="34" spans="2:4" ht="12.75">
      <c r="B34" s="2" t="s">
        <v>3</v>
      </c>
      <c r="C34" s="36">
        <v>0.25</v>
      </c>
      <c r="D34" s="36">
        <v>0.25</v>
      </c>
    </row>
    <row r="35" spans="2:4" ht="15.75">
      <c r="B35" s="2" t="s">
        <v>91</v>
      </c>
      <c r="C35" s="36">
        <v>2</v>
      </c>
      <c r="D35" s="36">
        <v>1.5</v>
      </c>
    </row>
    <row r="36" ht="12.75">
      <c r="B36" s="23" t="s">
        <v>80</v>
      </c>
    </row>
    <row r="37" spans="2:4" ht="15.75">
      <c r="B37" s="2" t="s">
        <v>61</v>
      </c>
      <c r="C37" s="26">
        <f>2/(3*(1-C7^2))^0.5*C6*(C34/C33)^2</f>
        <v>2391.1531103189936</v>
      </c>
      <c r="D37" s="26">
        <f>2/(3*(1-D7^2))^0.5*D6*(D34/D33)^2</f>
        <v>60976.3705266057</v>
      </c>
    </row>
    <row r="38" spans="2:4" ht="15.75">
      <c r="B38" s="2" t="s">
        <v>62</v>
      </c>
      <c r="C38" s="26">
        <f>2*C8*C34/C33</f>
        <v>628.3333333333334</v>
      </c>
      <c r="D38" s="26">
        <f>2*D8*D34/D33</f>
        <v>3172.9789590254704</v>
      </c>
    </row>
    <row r="39" spans="2:4" ht="15.75">
      <c r="B39" s="2" t="s">
        <v>63</v>
      </c>
      <c r="C39" s="17">
        <f>C37/C38</f>
        <v>3.8055487166880533</v>
      </c>
      <c r="D39" s="17">
        <f>D37/D38</f>
        <v>19.217388868325056</v>
      </c>
    </row>
    <row r="40" spans="2:4" ht="15.75">
      <c r="B40" s="2" t="s">
        <v>64</v>
      </c>
      <c r="C40" s="17">
        <f>Pcs_Pys(C38,C37)</f>
        <v>0.5559775321064043</v>
      </c>
      <c r="D40" s="17">
        <f>Pcs_Pys(D38,D37)</f>
        <v>0.7282263635622732</v>
      </c>
    </row>
    <row r="41" spans="2:4" ht="12.75">
      <c r="B41" s="8" t="s">
        <v>77</v>
      </c>
      <c r="C41" s="36">
        <v>0.67</v>
      </c>
      <c r="D41" s="36">
        <v>0.67</v>
      </c>
    </row>
    <row r="42" spans="2:4" ht="15.75">
      <c r="B42" s="6" t="s">
        <v>78</v>
      </c>
      <c r="C42" s="16">
        <f>C41*C40*C38</f>
        <v>234.05727472459446</v>
      </c>
      <c r="D42" s="16">
        <f>D41*D40*D38</f>
        <v>1548.1334424237862</v>
      </c>
    </row>
    <row r="43" ht="12.75">
      <c r="B43" s="23" t="s">
        <v>81</v>
      </c>
    </row>
    <row r="44" spans="2:4" ht="12.75">
      <c r="B44" s="6" t="s">
        <v>82</v>
      </c>
      <c r="C44" s="17">
        <f>0.8*C31</f>
        <v>23.8</v>
      </c>
      <c r="D44" s="17">
        <f>0.8*D31</f>
        <v>8.5</v>
      </c>
    </row>
    <row r="45" spans="2:4" ht="12.75">
      <c r="B45" s="6" t="s">
        <v>83</v>
      </c>
      <c r="C45" s="17">
        <f>0.0002*C31</f>
        <v>0.00595</v>
      </c>
      <c r="D45" s="17">
        <f>0.0002*D31</f>
        <v>0.002125</v>
      </c>
    </row>
    <row r="46" spans="2:4" ht="12.75">
      <c r="B46" s="6" t="s">
        <v>85</v>
      </c>
      <c r="C46" s="27" t="str">
        <f>IF((SIGN(C44-C34)/2+0.5),"Pass","To Thick")</f>
        <v>Pass</v>
      </c>
      <c r="D46" s="27" t="str">
        <f>IF((SIGN(D44-D34)/2+0.5),"Pass","To Thick")</f>
        <v>Pass</v>
      </c>
    </row>
    <row r="47" spans="2:4" ht="12.75">
      <c r="B47" s="6" t="s">
        <v>84</v>
      </c>
      <c r="C47" s="27" t="str">
        <f>IF((SIGN(C34-C45)/2+0.5),"Pass","To Thin")</f>
        <v>Pass</v>
      </c>
      <c r="D47" s="27" t="str">
        <f>IF((SIGN(D34-D45)/2+0.5),"Pass","To Thin")</f>
        <v>Pass</v>
      </c>
    </row>
    <row r="48" spans="2:4" ht="12.75">
      <c r="B48" s="6" t="s">
        <v>87</v>
      </c>
      <c r="C48" s="17">
        <f>0.18*C31</f>
        <v>5.3549999999999995</v>
      </c>
      <c r="D48" s="17">
        <f>0.18*D31</f>
        <v>1.9124999999999999</v>
      </c>
    </row>
    <row r="49" spans="2:4" ht="12.75">
      <c r="B49" s="6" t="s">
        <v>88</v>
      </c>
      <c r="C49" s="27" t="str">
        <f>IF((SIGN(C32-C48)/2+0.5),"Pass","h to small")</f>
        <v>Pass</v>
      </c>
      <c r="D49" s="27" t="str">
        <f>IF((SIGN(D32-D48)/2+0.5),"Pass","h to small")</f>
        <v>Pass</v>
      </c>
    </row>
    <row r="50" spans="2:4" ht="15.75">
      <c r="B50" s="6" t="s">
        <v>89</v>
      </c>
      <c r="C50" s="17">
        <f>2*C34</f>
        <v>0.5</v>
      </c>
      <c r="D50" s="17">
        <f>2*D34</f>
        <v>0.5</v>
      </c>
    </row>
    <row r="51" spans="2:4" ht="15.75">
      <c r="B51" s="6" t="s">
        <v>90</v>
      </c>
      <c r="C51" s="27" t="str">
        <f>IF((SIGN(C35-C50)/2+0.5),"Pass","to small")</f>
        <v>Pass</v>
      </c>
      <c r="D51" s="27" t="str">
        <f>IF((SIGN(D35-D50)/2+0.5),"Pass","to small")</f>
        <v>Pass</v>
      </c>
    </row>
    <row r="52" ht="12.75">
      <c r="B52" s="23" t="s">
        <v>106</v>
      </c>
    </row>
    <row r="53" spans="2:4" ht="12.75">
      <c r="B53" s="6" t="s">
        <v>105</v>
      </c>
      <c r="C53" s="16">
        <f>C42</f>
        <v>234.05727472459446</v>
      </c>
      <c r="D53" s="16">
        <f>D42</f>
        <v>1548.1334424237862</v>
      </c>
    </row>
    <row r="54" spans="2:4" ht="14.25">
      <c r="B54" s="6" t="s">
        <v>109</v>
      </c>
      <c r="C54" s="32">
        <f>C53/(62.4/144)</f>
        <v>540.1321724413718</v>
      </c>
      <c r="D54" s="32">
        <f>D53/(62.4/144)</f>
        <v>3572.6156363625832</v>
      </c>
    </row>
  </sheetData>
  <sheetProtection password="CD6E" sheet="1" objects="1" scenarios="1"/>
  <mergeCells count="2">
    <mergeCell ref="A1:D1"/>
    <mergeCell ref="A2:D2"/>
  </mergeCells>
  <printOptions/>
  <pageMargins left="0.75" right="0.75" top="0.54" bottom="0.55" header="0.34" footer="0.55"/>
  <pageSetup orientation="portrait" scale="90" r:id="rId1"/>
</worksheet>
</file>

<file path=xl/worksheets/sheet4.xml><?xml version="1.0" encoding="utf-8"?>
<worksheet xmlns="http://schemas.openxmlformats.org/spreadsheetml/2006/main" xmlns:r="http://schemas.openxmlformats.org/officeDocument/2006/relationships">
  <sheetPr codeName="Sheet2"/>
  <dimension ref="A1:J85"/>
  <sheetViews>
    <sheetView zoomScalePageLayoutView="0" workbookViewId="0" topLeftCell="A149">
      <selection activeCell="M187" sqref="M187"/>
    </sheetView>
  </sheetViews>
  <sheetFormatPr defaultColWidth="9.140625" defaultRowHeight="12.75"/>
  <sheetData>
    <row r="1" spans="1:9" ht="18">
      <c r="A1" s="24" t="s">
        <v>0</v>
      </c>
      <c r="B1" s="1"/>
      <c r="C1" s="1"/>
      <c r="D1" s="1"/>
      <c r="E1" s="1"/>
      <c r="F1" s="1"/>
      <c r="G1" s="1"/>
      <c r="H1" s="1"/>
      <c r="I1" s="1"/>
    </row>
    <row r="2" spans="1:9" ht="12.75">
      <c r="A2" s="1"/>
      <c r="B2" s="25" t="s">
        <v>104</v>
      </c>
      <c r="C2" s="1"/>
      <c r="D2" s="1"/>
      <c r="E2" s="1"/>
      <c r="F2" s="1"/>
      <c r="G2" s="1"/>
      <c r="H2" s="1"/>
      <c r="I2" s="1"/>
    </row>
    <row r="85" ht="12.75">
      <c r="J85" t="s">
        <v>127</v>
      </c>
    </row>
  </sheetData>
  <sheetProtection password="CD6E" sheet="1" objects="1" scenarios="1"/>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Redus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Cliff Redus</dc:creator>
  <cp:keywords/>
  <dc:description/>
  <cp:lastModifiedBy>Clifford Redus</cp:lastModifiedBy>
  <cp:lastPrinted>2005-08-22T14:26:46Z</cp:lastPrinted>
  <dcterms:created xsi:type="dcterms:W3CDTF">2003-05-07T16:06:33Z</dcterms:created>
  <dcterms:modified xsi:type="dcterms:W3CDTF">2009-05-18T20:37:30Z</dcterms:modified>
  <cp:category/>
  <cp:version/>
  <cp:contentType/>
  <cp:contentStatus/>
</cp:coreProperties>
</file>